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5" windowWidth="18135" windowHeight="79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A4" i="1"/>
  <c r="C4"/>
  <c r="H4"/>
  <c r="A5"/>
  <c r="C5"/>
  <c r="H5"/>
  <c r="A6"/>
  <c r="C6"/>
  <c r="H6"/>
  <c r="A7"/>
  <c r="C7"/>
  <c r="H7"/>
  <c r="A8"/>
  <c r="C8"/>
  <c r="H8"/>
  <c r="A9"/>
  <c r="C9"/>
  <c r="H9"/>
  <c r="A10"/>
  <c r="C10"/>
  <c r="H10"/>
  <c r="A11"/>
  <c r="C11"/>
  <c r="H11"/>
  <c r="A12"/>
  <c r="C12"/>
  <c r="H12"/>
  <c r="A13"/>
  <c r="C13"/>
  <c r="H13"/>
  <c r="A14"/>
  <c r="C14"/>
  <c r="H14"/>
  <c r="A15"/>
  <c r="C15"/>
  <c r="H15"/>
  <c r="A16"/>
  <c r="C16"/>
  <c r="H16"/>
  <c r="A17"/>
  <c r="C17"/>
  <c r="H17"/>
  <c r="A18"/>
  <c r="C18"/>
  <c r="H18"/>
  <c r="A19"/>
  <c r="C19"/>
  <c r="H19"/>
  <c r="A20"/>
  <c r="C20"/>
  <c r="H20"/>
  <c r="A21"/>
  <c r="C21"/>
  <c r="H21"/>
  <c r="A22"/>
  <c r="C22"/>
  <c r="H22"/>
  <c r="A23"/>
  <c r="C23"/>
  <c r="H23"/>
  <c r="A24"/>
  <c r="C24"/>
  <c r="H24"/>
  <c r="A25"/>
  <c r="C25"/>
  <c r="H25"/>
  <c r="A26"/>
  <c r="C26"/>
  <c r="H26"/>
  <c r="A27"/>
  <c r="C27"/>
  <c r="H27"/>
  <c r="A28"/>
  <c r="C28"/>
  <c r="H28"/>
  <c r="A29"/>
  <c r="C29"/>
  <c r="H29"/>
  <c r="A30"/>
  <c r="C30"/>
  <c r="H30"/>
  <c r="A31"/>
  <c r="C31"/>
  <c r="H31"/>
  <c r="A32"/>
  <c r="C32"/>
  <c r="H32"/>
  <c r="A33"/>
  <c r="C33"/>
  <c r="H33"/>
  <c r="A34"/>
  <c r="C34"/>
  <c r="H34"/>
  <c r="A35"/>
  <c r="C35"/>
  <c r="H35"/>
  <c r="A36"/>
  <c r="C36"/>
  <c r="H36"/>
  <c r="A37"/>
  <c r="C37"/>
  <c r="H37"/>
  <c r="A38"/>
  <c r="C38"/>
  <c r="H38"/>
  <c r="A39"/>
  <c r="C39"/>
  <c r="H39"/>
  <c r="A40"/>
  <c r="C40"/>
  <c r="H40"/>
  <c r="A41"/>
  <c r="C41"/>
  <c r="H41"/>
  <c r="A42"/>
  <c r="C42"/>
  <c r="H42"/>
  <c r="A43"/>
  <c r="C43"/>
  <c r="H43"/>
  <c r="A44"/>
  <c r="C44"/>
  <c r="H44"/>
  <c r="A45"/>
  <c r="C45"/>
  <c r="H45"/>
  <c r="A46"/>
  <c r="C46"/>
  <c r="H46"/>
  <c r="A47"/>
  <c r="C47"/>
  <c r="H47"/>
  <c r="A48"/>
  <c r="C48"/>
  <c r="H48"/>
  <c r="A49"/>
  <c r="C49"/>
  <c r="H49"/>
  <c r="A50"/>
  <c r="C50"/>
  <c r="H50"/>
  <c r="A51"/>
  <c r="C51"/>
  <c r="H51"/>
  <c r="A52"/>
  <c r="C52"/>
  <c r="H52"/>
  <c r="A53"/>
  <c r="C53"/>
  <c r="H53"/>
  <c r="A54"/>
  <c r="C54"/>
  <c r="H54"/>
  <c r="A55"/>
  <c r="C55"/>
  <c r="H55"/>
  <c r="A56"/>
  <c r="C56"/>
  <c r="H56"/>
  <c r="A57"/>
  <c r="C57"/>
  <c r="H57"/>
  <c r="A58"/>
  <c r="C58"/>
  <c r="H58"/>
  <c r="A59"/>
  <c r="C59"/>
  <c r="H59"/>
  <c r="A60"/>
  <c r="C60"/>
  <c r="H60"/>
  <c r="A61"/>
  <c r="C61"/>
  <c r="H61"/>
  <c r="A62"/>
  <c r="C62"/>
  <c r="H62"/>
  <c r="A63"/>
  <c r="C63"/>
  <c r="H63"/>
  <c r="A64"/>
  <c r="C64"/>
  <c r="H64"/>
  <c r="A65"/>
  <c r="C65"/>
  <c r="H65"/>
  <c r="A66"/>
  <c r="C66"/>
  <c r="H66"/>
  <c r="A67"/>
  <c r="C67"/>
  <c r="H67"/>
  <c r="A68"/>
  <c r="C68"/>
  <c r="H68"/>
  <c r="A69"/>
  <c r="C69"/>
  <c r="H69"/>
  <c r="A70"/>
  <c r="C70"/>
  <c r="H70"/>
  <c r="A71"/>
  <c r="C71"/>
  <c r="H71"/>
  <c r="A72"/>
  <c r="C72"/>
  <c r="H72"/>
  <c r="A73"/>
  <c r="C73"/>
  <c r="H73"/>
  <c r="A74"/>
  <c r="C74"/>
  <c r="H74"/>
  <c r="A75"/>
  <c r="C75"/>
  <c r="H75"/>
  <c r="A76"/>
  <c r="C76"/>
  <c r="H76"/>
  <c r="A77"/>
  <c r="C77"/>
  <c r="H77"/>
  <c r="A78"/>
  <c r="C78"/>
  <c r="H78"/>
  <c r="A79"/>
  <c r="C79"/>
  <c r="H79"/>
  <c r="A80"/>
  <c r="C80"/>
  <c r="H80"/>
  <c r="A81"/>
  <c r="C81"/>
  <c r="H81"/>
  <c r="A82"/>
  <c r="C82"/>
  <c r="H82"/>
  <c r="A83"/>
  <c r="C83"/>
  <c r="H83"/>
  <c r="A84"/>
  <c r="C84"/>
  <c r="H84"/>
  <c r="A85"/>
  <c r="C85"/>
  <c r="H85"/>
  <c r="A86"/>
  <c r="C86"/>
  <c r="H86"/>
  <c r="A87"/>
  <c r="C87"/>
  <c r="H87"/>
  <c r="A88"/>
  <c r="C88"/>
  <c r="H88"/>
  <c r="A89"/>
  <c r="C89"/>
  <c r="H89"/>
  <c r="A90"/>
  <c r="C90"/>
  <c r="H90"/>
  <c r="A91"/>
  <c r="C91"/>
  <c r="H91"/>
  <c r="A92"/>
  <c r="C92"/>
  <c r="H92"/>
  <c r="A93"/>
  <c r="C93"/>
  <c r="H93"/>
  <c r="A94"/>
  <c r="C94"/>
  <c r="H94"/>
  <c r="A95"/>
  <c r="C95"/>
  <c r="H95"/>
  <c r="A96"/>
  <c r="C96"/>
  <c r="H96"/>
  <c r="A97"/>
  <c r="C97"/>
  <c r="H97"/>
  <c r="A98"/>
  <c r="C98"/>
  <c r="H98"/>
  <c r="A99"/>
  <c r="C99"/>
  <c r="H99"/>
  <c r="A100"/>
  <c r="C100"/>
  <c r="H100"/>
  <c r="A101"/>
  <c r="C101"/>
  <c r="H101"/>
  <c r="A102"/>
  <c r="C102"/>
  <c r="H102"/>
  <c r="A103"/>
  <c r="C103"/>
  <c r="H103"/>
  <c r="A104"/>
  <c r="C104"/>
  <c r="H104"/>
  <c r="A105"/>
  <c r="C105"/>
  <c r="H105"/>
  <c r="A106"/>
  <c r="C106"/>
  <c r="H106"/>
  <c r="A107"/>
  <c r="C107"/>
  <c r="H107"/>
  <c r="A108"/>
  <c r="C108"/>
  <c r="H108"/>
  <c r="A109"/>
  <c r="C109"/>
  <c r="H109"/>
  <c r="A110"/>
  <c r="C110"/>
  <c r="H110"/>
  <c r="A111"/>
  <c r="C111"/>
  <c r="H111"/>
  <c r="A112"/>
  <c r="C112"/>
  <c r="H112"/>
  <c r="A113"/>
  <c r="C113"/>
  <c r="H113"/>
  <c r="A114"/>
  <c r="C114"/>
  <c r="H114"/>
  <c r="A115"/>
  <c r="C115"/>
  <c r="H115"/>
  <c r="A116"/>
  <c r="C116"/>
  <c r="H116"/>
  <c r="A117"/>
  <c r="C117"/>
  <c r="H117"/>
  <c r="A118"/>
  <c r="C118"/>
  <c r="H118"/>
  <c r="A119"/>
  <c r="C119"/>
  <c r="H119"/>
  <c r="A120"/>
  <c r="C120"/>
  <c r="H120"/>
  <c r="A121"/>
  <c r="C121"/>
  <c r="H121"/>
  <c r="A122"/>
  <c r="C122"/>
  <c r="H122"/>
  <c r="A123"/>
  <c r="C123"/>
  <c r="H123"/>
  <c r="A124"/>
  <c r="C124"/>
  <c r="H124"/>
  <c r="A125"/>
  <c r="C125"/>
  <c r="H125"/>
  <c r="A126"/>
  <c r="C126"/>
  <c r="H126"/>
  <c r="A127"/>
  <c r="C127"/>
  <c r="H127"/>
  <c r="A128"/>
  <c r="C128"/>
  <c r="H128"/>
  <c r="A129"/>
  <c r="C129"/>
  <c r="H129"/>
  <c r="A130"/>
  <c r="C130"/>
  <c r="H130"/>
  <c r="A131"/>
  <c r="C131"/>
  <c r="H131"/>
  <c r="A132"/>
  <c r="C132"/>
  <c r="H132"/>
  <c r="A133"/>
  <c r="C133"/>
  <c r="H133"/>
  <c r="A134"/>
  <c r="C134"/>
  <c r="H134"/>
  <c r="A135"/>
  <c r="C135"/>
  <c r="H135"/>
  <c r="A136"/>
  <c r="C136"/>
  <c r="H136"/>
  <c r="A137"/>
  <c r="C137"/>
  <c r="H137"/>
  <c r="A138"/>
  <c r="C138"/>
  <c r="H138"/>
  <c r="A139"/>
  <c r="C139"/>
  <c r="H139"/>
  <c r="A140"/>
  <c r="C140"/>
  <c r="H140"/>
  <c r="A141"/>
  <c r="C141"/>
  <c r="H141"/>
  <c r="A142"/>
  <c r="C142"/>
  <c r="H142"/>
  <c r="A143"/>
  <c r="C143"/>
  <c r="H143"/>
  <c r="A144"/>
  <c r="C144"/>
  <c r="H144"/>
  <c r="A145"/>
  <c r="C145"/>
  <c r="H145"/>
  <c r="A146"/>
  <c r="C146"/>
  <c r="H146"/>
  <c r="A147"/>
  <c r="C147"/>
  <c r="H147"/>
  <c r="A148"/>
  <c r="C148"/>
  <c r="H148"/>
  <c r="A149"/>
  <c r="C149"/>
  <c r="H149"/>
  <c r="A150"/>
  <c r="C150"/>
  <c r="H150"/>
  <c r="A151"/>
  <c r="C151"/>
  <c r="H151"/>
  <c r="A152"/>
  <c r="C152"/>
  <c r="H152"/>
  <c r="A153"/>
  <c r="C153"/>
  <c r="H153"/>
  <c r="A154"/>
  <c r="C154"/>
  <c r="H154"/>
  <c r="A155"/>
  <c r="C155"/>
  <c r="H155"/>
  <c r="A156"/>
  <c r="C156"/>
  <c r="H156"/>
  <c r="A157"/>
  <c r="C157"/>
  <c r="H157"/>
  <c r="A158"/>
  <c r="C158"/>
  <c r="H158"/>
  <c r="A159"/>
  <c r="C159"/>
  <c r="H159"/>
  <c r="A160"/>
  <c r="C160"/>
  <c r="H160"/>
  <c r="A161"/>
  <c r="C161"/>
  <c r="H161"/>
  <c r="A162"/>
  <c r="C162"/>
  <c r="H162"/>
  <c r="A163"/>
  <c r="C163"/>
  <c r="H163"/>
  <c r="A164"/>
  <c r="C164"/>
  <c r="H164"/>
  <c r="A165"/>
  <c r="C165"/>
  <c r="H165"/>
  <c r="A166"/>
  <c r="C166"/>
  <c r="H166"/>
  <c r="A167"/>
  <c r="C167"/>
  <c r="H167"/>
  <c r="A168"/>
  <c r="C168"/>
  <c r="H168"/>
  <c r="A169"/>
  <c r="C169"/>
  <c r="H169"/>
  <c r="A170"/>
  <c r="C170"/>
  <c r="H170"/>
  <c r="A171"/>
  <c r="C171"/>
  <c r="H171"/>
  <c r="A172"/>
  <c r="C172"/>
  <c r="H172"/>
  <c r="A173"/>
  <c r="C173"/>
  <c r="H173"/>
  <c r="A174"/>
  <c r="C174"/>
  <c r="H174"/>
  <c r="A175"/>
  <c r="C175"/>
  <c r="H175"/>
  <c r="A176"/>
  <c r="C176"/>
  <c r="H176"/>
  <c r="A177"/>
  <c r="C177"/>
  <c r="H177"/>
  <c r="A178"/>
  <c r="C178"/>
  <c r="H178"/>
  <c r="A179"/>
  <c r="C179"/>
  <c r="H179"/>
  <c r="A180"/>
  <c r="C180"/>
  <c r="H180"/>
  <c r="A181"/>
  <c r="C181"/>
  <c r="H181"/>
  <c r="A182"/>
  <c r="C182"/>
  <c r="H182"/>
  <c r="A183"/>
  <c r="C183"/>
  <c r="H183"/>
  <c r="A184"/>
  <c r="C184"/>
  <c r="H184"/>
  <c r="A185"/>
  <c r="C185"/>
  <c r="H185"/>
  <c r="A186"/>
  <c r="C186"/>
  <c r="H186"/>
  <c r="A187"/>
  <c r="C187"/>
  <c r="H187"/>
  <c r="A188"/>
  <c r="C188"/>
  <c r="H188"/>
  <c r="A189"/>
  <c r="C189"/>
  <c r="H189"/>
  <c r="A190"/>
  <c r="C190"/>
  <c r="H190"/>
  <c r="A191"/>
  <c r="C191"/>
  <c r="H191"/>
  <c r="A192"/>
  <c r="C192"/>
  <c r="H192"/>
  <c r="A193"/>
  <c r="C193"/>
  <c r="H193"/>
  <c r="A194"/>
  <c r="C194"/>
  <c r="H194"/>
  <c r="A195"/>
  <c r="C195"/>
  <c r="H195"/>
  <c r="A196"/>
  <c r="C196"/>
  <c r="H196"/>
  <c r="A197"/>
  <c r="C197"/>
  <c r="H197"/>
  <c r="A198"/>
  <c r="C198"/>
  <c r="H198"/>
  <c r="A199"/>
  <c r="C199"/>
  <c r="H199"/>
  <c r="A200"/>
  <c r="C200"/>
  <c r="H200"/>
  <c r="A201"/>
  <c r="C201"/>
  <c r="H201"/>
  <c r="A202"/>
  <c r="C202"/>
  <c r="H202"/>
  <c r="A203"/>
  <c r="C203"/>
  <c r="H203"/>
  <c r="A204"/>
  <c r="C204"/>
  <c r="H204"/>
  <c r="A205"/>
  <c r="C205"/>
  <c r="H205"/>
  <c r="A206"/>
  <c r="C206"/>
  <c r="H206"/>
  <c r="A207"/>
  <c r="C207"/>
  <c r="H207"/>
  <c r="A208"/>
  <c r="C208"/>
  <c r="H208"/>
  <c r="A209"/>
  <c r="C209"/>
  <c r="H209"/>
  <c r="A210"/>
  <c r="C210"/>
  <c r="H210"/>
  <c r="A211"/>
  <c r="C211"/>
  <c r="H211"/>
  <c r="A212"/>
  <c r="C212"/>
  <c r="H212"/>
  <c r="A213"/>
  <c r="C213"/>
  <c r="H213"/>
  <c r="A214"/>
  <c r="C214"/>
  <c r="H214"/>
  <c r="A215"/>
  <c r="C215"/>
  <c r="H215"/>
  <c r="A216"/>
  <c r="C216"/>
  <c r="H216"/>
  <c r="A217"/>
  <c r="C217"/>
  <c r="H217"/>
  <c r="A218"/>
  <c r="C218"/>
  <c r="H218"/>
  <c r="A219"/>
  <c r="C219"/>
  <c r="H219"/>
  <c r="A220"/>
  <c r="C220"/>
  <c r="H220"/>
  <c r="A221"/>
  <c r="C221"/>
  <c r="H221"/>
  <c r="A222"/>
  <c r="C222"/>
  <c r="H222"/>
  <c r="A223"/>
  <c r="C223"/>
  <c r="H223"/>
  <c r="A224"/>
  <c r="C224"/>
  <c r="H224"/>
  <c r="A225"/>
  <c r="C225"/>
  <c r="H225"/>
  <c r="A226"/>
  <c r="C226"/>
  <c r="H226"/>
  <c r="A227"/>
  <c r="C227"/>
  <c r="H227"/>
  <c r="A228"/>
  <c r="C228"/>
  <c r="H228"/>
  <c r="A229"/>
  <c r="C229"/>
  <c r="H229"/>
  <c r="A230"/>
  <c r="C230"/>
  <c r="H230"/>
  <c r="A231"/>
  <c r="C231"/>
  <c r="H231"/>
  <c r="A232"/>
  <c r="C232"/>
  <c r="H232"/>
  <c r="A233"/>
  <c r="C233"/>
  <c r="H233"/>
  <c r="A234"/>
  <c r="C234"/>
  <c r="H234"/>
  <c r="A235"/>
  <c r="C235"/>
  <c r="H235"/>
  <c r="A236"/>
  <c r="C236"/>
  <c r="H236"/>
  <c r="A237"/>
  <c r="C237"/>
  <c r="H237"/>
  <c r="A238"/>
  <c r="C238"/>
  <c r="H238"/>
  <c r="A239"/>
  <c r="C239"/>
  <c r="H239"/>
  <c r="A240"/>
  <c r="C240"/>
  <c r="H240"/>
  <c r="A241"/>
  <c r="C241"/>
  <c r="H241"/>
  <c r="A242"/>
  <c r="C242"/>
  <c r="H242"/>
  <c r="A243"/>
  <c r="C243"/>
  <c r="H243"/>
  <c r="A244"/>
  <c r="C244"/>
  <c r="H244"/>
  <c r="A245"/>
  <c r="C245"/>
  <c r="H245"/>
  <c r="A246"/>
  <c r="C246"/>
  <c r="H246"/>
  <c r="A247"/>
  <c r="C247"/>
  <c r="H247"/>
  <c r="A248"/>
  <c r="C248"/>
  <c r="H248"/>
  <c r="A249"/>
  <c r="C249"/>
  <c r="H249"/>
  <c r="A250"/>
  <c r="C250"/>
  <c r="H250"/>
  <c r="A251"/>
  <c r="C251"/>
  <c r="H251"/>
  <c r="A252"/>
  <c r="C252"/>
  <c r="H252"/>
  <c r="A253"/>
  <c r="C253"/>
  <c r="H253"/>
  <c r="A254"/>
  <c r="C254"/>
  <c r="H254"/>
  <c r="A255"/>
  <c r="C255"/>
  <c r="H255"/>
  <c r="A256"/>
  <c r="C256"/>
  <c r="H256"/>
  <c r="A257"/>
  <c r="C257"/>
  <c r="H257"/>
  <c r="A258"/>
  <c r="C258"/>
  <c r="H258"/>
  <c r="A259"/>
  <c r="C259"/>
  <c r="H259"/>
  <c r="A260"/>
  <c r="C260"/>
  <c r="H260"/>
  <c r="A261"/>
  <c r="C261"/>
  <c r="H261"/>
  <c r="A262"/>
  <c r="C262"/>
  <c r="H262"/>
  <c r="A263"/>
  <c r="C263"/>
  <c r="H263"/>
  <c r="A264"/>
  <c r="C264"/>
  <c r="H264"/>
  <c r="A265"/>
  <c r="C265"/>
  <c r="H265"/>
  <c r="A266"/>
  <c r="C266"/>
  <c r="H266"/>
  <c r="A267"/>
  <c r="C267"/>
  <c r="H267"/>
  <c r="A268"/>
  <c r="C268"/>
  <c r="H268"/>
  <c r="A269"/>
  <c r="C269"/>
  <c r="H269"/>
  <c r="A270"/>
  <c r="C270"/>
  <c r="H270"/>
  <c r="A271"/>
  <c r="C271"/>
  <c r="H271"/>
  <c r="A272"/>
  <c r="C272"/>
  <c r="H272"/>
  <c r="A273"/>
  <c r="C273"/>
  <c r="H273"/>
  <c r="A274"/>
  <c r="C274"/>
  <c r="H274"/>
  <c r="A275"/>
  <c r="C275"/>
  <c r="H275"/>
  <c r="A276"/>
  <c r="C276"/>
  <c r="H276"/>
  <c r="A277"/>
  <c r="C277"/>
  <c r="H277"/>
  <c r="A278"/>
  <c r="C278"/>
  <c r="H278"/>
  <c r="A279"/>
  <c r="C279"/>
  <c r="H279"/>
  <c r="A280"/>
  <c r="C280"/>
  <c r="H280"/>
  <c r="A281"/>
  <c r="C281"/>
  <c r="H281"/>
  <c r="A282"/>
  <c r="C282"/>
  <c r="H282"/>
  <c r="A283"/>
  <c r="C283"/>
  <c r="H283"/>
  <c r="A284"/>
  <c r="C284"/>
  <c r="H284"/>
  <c r="A285"/>
  <c r="C285"/>
  <c r="H285"/>
  <c r="A286"/>
  <c r="C286"/>
  <c r="H286"/>
  <c r="A287"/>
  <c r="C287"/>
  <c r="H287"/>
  <c r="A288"/>
  <c r="C288"/>
  <c r="H288"/>
  <c r="A289"/>
  <c r="C289"/>
  <c r="H289"/>
  <c r="A290"/>
  <c r="C290"/>
  <c r="H290"/>
  <c r="A291"/>
  <c r="C291"/>
  <c r="H291"/>
  <c r="A292"/>
  <c r="C292"/>
  <c r="H292"/>
  <c r="A293"/>
  <c r="C293"/>
  <c r="H293"/>
  <c r="A294"/>
  <c r="C294"/>
  <c r="H294"/>
  <c r="A295"/>
  <c r="C295"/>
  <c r="H295"/>
  <c r="A296"/>
  <c r="C296"/>
  <c r="H296"/>
  <c r="A297"/>
  <c r="C297"/>
  <c r="H297"/>
  <c r="A298"/>
  <c r="C298"/>
  <c r="H298"/>
  <c r="A299"/>
  <c r="C299"/>
  <c r="H299"/>
  <c r="A300"/>
  <c r="C300"/>
  <c r="H300"/>
  <c r="A301"/>
  <c r="C301"/>
  <c r="H301"/>
  <c r="A302"/>
  <c r="C302"/>
  <c r="H302"/>
  <c r="A303"/>
  <c r="C303"/>
  <c r="H303"/>
  <c r="A304"/>
  <c r="C304"/>
  <c r="H304"/>
  <c r="A305"/>
  <c r="C305"/>
  <c r="H305"/>
  <c r="A306"/>
  <c r="C306"/>
  <c r="H306"/>
  <c r="A307"/>
  <c r="C307"/>
  <c r="H307"/>
  <c r="A308"/>
  <c r="C308"/>
  <c r="H308"/>
  <c r="A309"/>
  <c r="C309"/>
  <c r="H309"/>
  <c r="A310"/>
  <c r="C310"/>
  <c r="H310"/>
  <c r="A311"/>
  <c r="C311"/>
  <c r="H311"/>
  <c r="A312"/>
  <c r="C312"/>
  <c r="H312"/>
  <c r="A313"/>
  <c r="C313"/>
  <c r="H313"/>
  <c r="A314"/>
  <c r="C314"/>
  <c r="H314"/>
  <c r="A315"/>
  <c r="C315"/>
  <c r="H315"/>
  <c r="A316"/>
  <c r="C316"/>
  <c r="H316"/>
  <c r="A317"/>
  <c r="C317"/>
  <c r="H317"/>
  <c r="A318"/>
  <c r="C318"/>
  <c r="H318"/>
  <c r="A319"/>
  <c r="C319"/>
  <c r="H319"/>
  <c r="A320"/>
  <c r="C320"/>
  <c r="H320"/>
  <c r="A321"/>
  <c r="C321"/>
  <c r="H321"/>
  <c r="A322"/>
  <c r="C322"/>
  <c r="H322"/>
  <c r="A323"/>
  <c r="C323"/>
  <c r="H323"/>
  <c r="A324"/>
  <c r="C324"/>
  <c r="H324"/>
  <c r="A325"/>
  <c r="C325"/>
  <c r="H325"/>
  <c r="A326"/>
  <c r="C326"/>
  <c r="H326"/>
  <c r="A327"/>
  <c r="C327"/>
  <c r="H327"/>
  <c r="A328"/>
  <c r="C328"/>
  <c r="H328"/>
  <c r="A329"/>
  <c r="C329"/>
  <c r="H329"/>
  <c r="A330"/>
  <c r="C330"/>
  <c r="H330"/>
  <c r="A331"/>
  <c r="C331"/>
  <c r="H331"/>
  <c r="A332"/>
  <c r="C332"/>
  <c r="H332"/>
  <c r="A333"/>
  <c r="C333"/>
  <c r="H333"/>
  <c r="A334"/>
  <c r="C334"/>
  <c r="H334"/>
  <c r="A335"/>
  <c r="C335"/>
  <c r="H335"/>
  <c r="A336"/>
  <c r="C336"/>
  <c r="H336"/>
  <c r="A337"/>
  <c r="C337"/>
  <c r="H337"/>
  <c r="A338"/>
  <c r="C338"/>
  <c r="H338"/>
  <c r="A339"/>
  <c r="C339"/>
  <c r="H339"/>
  <c r="A340"/>
  <c r="C340"/>
  <c r="H340"/>
  <c r="A341"/>
  <c r="C341"/>
  <c r="H341"/>
  <c r="A342"/>
  <c r="C342"/>
  <c r="H342"/>
  <c r="A343"/>
  <c r="C343"/>
  <c r="H343"/>
  <c r="A344"/>
  <c r="C344"/>
  <c r="H344"/>
  <c r="A345"/>
  <c r="C345"/>
  <c r="H345"/>
  <c r="A346"/>
  <c r="C346"/>
  <c r="H346"/>
  <c r="A347"/>
  <c r="C347"/>
  <c r="H347"/>
  <c r="A348"/>
  <c r="C348"/>
  <c r="H348"/>
  <c r="A349"/>
  <c r="C349"/>
  <c r="H349"/>
  <c r="A350"/>
  <c r="C350"/>
  <c r="H350"/>
  <c r="A351"/>
  <c r="C351"/>
  <c r="H351"/>
  <c r="A352"/>
  <c r="C352"/>
  <c r="H352"/>
  <c r="A353"/>
  <c r="C353"/>
  <c r="H353"/>
  <c r="A354"/>
  <c r="C354"/>
  <c r="H354"/>
  <c r="A355"/>
  <c r="C355"/>
  <c r="H355"/>
  <c r="A356"/>
  <c r="C356"/>
  <c r="H356"/>
  <c r="A357"/>
  <c r="C357"/>
  <c r="H357"/>
  <c r="A358"/>
  <c r="C358"/>
  <c r="H358"/>
  <c r="A359"/>
  <c r="C359"/>
  <c r="H359"/>
  <c r="A360"/>
  <c r="C360"/>
  <c r="H360"/>
  <c r="A361"/>
  <c r="C361"/>
  <c r="H361"/>
  <c r="A362"/>
  <c r="C362"/>
  <c r="H362"/>
  <c r="A363"/>
  <c r="C363"/>
  <c r="H363"/>
  <c r="A364"/>
  <c r="C364"/>
  <c r="H364"/>
  <c r="A365"/>
  <c r="C365"/>
  <c r="H365"/>
  <c r="A366"/>
  <c r="C366"/>
  <c r="H366"/>
  <c r="A367"/>
  <c r="C367"/>
  <c r="H367"/>
  <c r="A368"/>
  <c r="C368"/>
  <c r="H368"/>
  <c r="A369"/>
  <c r="C369"/>
  <c r="H369"/>
  <c r="A370"/>
  <c r="C370"/>
  <c r="H370"/>
  <c r="A371"/>
  <c r="C371"/>
  <c r="H371"/>
  <c r="A372"/>
  <c r="C372"/>
  <c r="H372"/>
  <c r="A373"/>
  <c r="C373"/>
  <c r="H373"/>
  <c r="A374"/>
  <c r="C374"/>
  <c r="H374"/>
  <c r="A375"/>
  <c r="C375"/>
  <c r="H375"/>
  <c r="A376"/>
  <c r="C376"/>
  <c r="H376"/>
  <c r="A377"/>
  <c r="C377"/>
  <c r="H377"/>
  <c r="A378"/>
  <c r="C378"/>
  <c r="H378"/>
  <c r="A379"/>
  <c r="C379"/>
  <c r="H379"/>
  <c r="A380"/>
  <c r="C380"/>
  <c r="H380"/>
  <c r="A381"/>
  <c r="C381"/>
  <c r="H381"/>
  <c r="A382"/>
  <c r="C382"/>
  <c r="H382"/>
  <c r="A383"/>
  <c r="C383"/>
  <c r="H383"/>
  <c r="A384"/>
  <c r="C384"/>
  <c r="H384"/>
  <c r="A385"/>
  <c r="C385"/>
  <c r="H385"/>
  <c r="A386"/>
  <c r="C386"/>
  <c r="H386"/>
  <c r="A387"/>
  <c r="C387"/>
  <c r="H387"/>
  <c r="A388"/>
  <c r="C388"/>
  <c r="H388"/>
  <c r="A389"/>
  <c r="C389"/>
  <c r="H389"/>
  <c r="A390"/>
  <c r="C390"/>
  <c r="H390"/>
  <c r="A391"/>
  <c r="C391"/>
  <c r="H391"/>
  <c r="A392"/>
  <c r="C392"/>
  <c r="H392"/>
  <c r="A393"/>
  <c r="C393"/>
  <c r="H393"/>
  <c r="A394"/>
  <c r="C394"/>
  <c r="H394"/>
  <c r="A395"/>
  <c r="C395"/>
  <c r="H395"/>
  <c r="A396"/>
  <c r="C396"/>
  <c r="H396"/>
  <c r="A397"/>
  <c r="C397"/>
  <c r="H397"/>
  <c r="A398"/>
  <c r="C398"/>
  <c r="H398"/>
  <c r="A399"/>
  <c r="C399"/>
  <c r="H399"/>
  <c r="A400"/>
  <c r="C400"/>
  <c r="H400"/>
  <c r="A401"/>
  <c r="C401"/>
  <c r="H401"/>
  <c r="A402"/>
  <c r="C402"/>
  <c r="H402"/>
  <c r="A403"/>
  <c r="C403"/>
  <c r="H403"/>
  <c r="A404"/>
  <c r="C404"/>
  <c r="H404"/>
  <c r="A405"/>
  <c r="C405"/>
  <c r="H405"/>
  <c r="A406"/>
  <c r="C406"/>
  <c r="H406"/>
  <c r="A407"/>
  <c r="C407"/>
  <c r="H407"/>
  <c r="A408"/>
  <c r="C408"/>
  <c r="H408"/>
  <c r="A409"/>
  <c r="C409"/>
  <c r="H409"/>
  <c r="A410"/>
  <c r="C410"/>
  <c r="H410"/>
  <c r="A411"/>
  <c r="C411"/>
  <c r="H411"/>
  <c r="A412"/>
  <c r="C412"/>
  <c r="H412"/>
  <c r="A413"/>
  <c r="C413"/>
  <c r="H413"/>
  <c r="A414"/>
  <c r="C414"/>
  <c r="H414"/>
  <c r="A415"/>
  <c r="C415"/>
  <c r="H415"/>
  <c r="A416"/>
  <c r="C416"/>
  <c r="H416"/>
  <c r="A417"/>
  <c r="C417"/>
  <c r="H417"/>
  <c r="A418"/>
  <c r="C418"/>
  <c r="H418"/>
  <c r="A419"/>
  <c r="C419"/>
  <c r="H419"/>
  <c r="A420"/>
  <c r="C420"/>
  <c r="H420"/>
  <c r="A421"/>
  <c r="C421"/>
  <c r="H421"/>
  <c r="A422"/>
  <c r="C422"/>
  <c r="H422"/>
  <c r="A423"/>
  <c r="C423"/>
  <c r="H423"/>
  <c r="A424"/>
  <c r="C424"/>
  <c r="H424"/>
  <c r="A425"/>
  <c r="C425"/>
  <c r="H425"/>
  <c r="A426"/>
  <c r="C426"/>
  <c r="H426"/>
  <c r="A427"/>
  <c r="C427"/>
  <c r="H427"/>
  <c r="A428"/>
  <c r="C428"/>
  <c r="H428"/>
  <c r="A429"/>
  <c r="C429"/>
  <c r="H429"/>
  <c r="A430"/>
  <c r="C430"/>
  <c r="H430"/>
  <c r="A431"/>
  <c r="C431"/>
  <c r="H431"/>
  <c r="A432"/>
  <c r="C432"/>
  <c r="H432"/>
  <c r="A433"/>
  <c r="C433"/>
  <c r="H433"/>
  <c r="A434"/>
  <c r="C434"/>
  <c r="H434"/>
  <c r="A435"/>
  <c r="C435"/>
  <c r="H435"/>
  <c r="A436"/>
  <c r="C436"/>
  <c r="H436"/>
  <c r="A437"/>
  <c r="C437"/>
  <c r="H437"/>
  <c r="A438"/>
  <c r="C438"/>
  <c r="H438"/>
  <c r="A439"/>
  <c r="C439"/>
  <c r="H439"/>
  <c r="A440"/>
  <c r="C440"/>
  <c r="H440"/>
  <c r="A441"/>
  <c r="C441"/>
  <c r="H441"/>
  <c r="A442"/>
  <c r="C442"/>
  <c r="H442"/>
  <c r="A443"/>
  <c r="C443"/>
  <c r="H443"/>
  <c r="A444"/>
  <c r="C444"/>
  <c r="H444"/>
  <c r="A445"/>
  <c r="C445"/>
  <c r="H445"/>
  <c r="A446"/>
  <c r="C446"/>
  <c r="H446"/>
  <c r="A447"/>
  <c r="C447"/>
  <c r="H447"/>
  <c r="A448"/>
  <c r="C448"/>
  <c r="H448"/>
  <c r="A449"/>
  <c r="C449"/>
  <c r="H449"/>
  <c r="A450"/>
  <c r="C450"/>
  <c r="H450"/>
  <c r="A451"/>
  <c r="C451"/>
  <c r="H451"/>
  <c r="A452"/>
  <c r="C452"/>
  <c r="H452"/>
  <c r="A453"/>
  <c r="C453"/>
  <c r="H453"/>
  <c r="A454"/>
  <c r="C454"/>
  <c r="H454"/>
  <c r="A455"/>
  <c r="C455"/>
  <c r="H455"/>
  <c r="A456"/>
  <c r="C456"/>
  <c r="H456"/>
  <c r="A457"/>
  <c r="C457"/>
  <c r="H457"/>
  <c r="A458"/>
  <c r="C458"/>
  <c r="H458"/>
  <c r="A459"/>
  <c r="C459"/>
  <c r="H459"/>
  <c r="A460"/>
  <c r="C460"/>
  <c r="H460"/>
  <c r="A461"/>
  <c r="C461"/>
  <c r="H461"/>
  <c r="A462"/>
  <c r="C462"/>
  <c r="H462"/>
  <c r="A463"/>
  <c r="C463"/>
  <c r="H463"/>
  <c r="A464"/>
  <c r="C464"/>
  <c r="H464"/>
  <c r="A465"/>
  <c r="C465"/>
  <c r="H465"/>
  <c r="A466"/>
  <c r="C466"/>
  <c r="H466"/>
  <c r="A467"/>
  <c r="C467"/>
  <c r="H467"/>
  <c r="A468"/>
  <c r="C468"/>
  <c r="H468"/>
  <c r="A469"/>
  <c r="C469"/>
  <c r="H469"/>
  <c r="A470"/>
  <c r="C470"/>
  <c r="H470"/>
  <c r="A471"/>
  <c r="C471"/>
  <c r="H471"/>
  <c r="A472"/>
  <c r="C472"/>
  <c r="H472"/>
  <c r="A473"/>
  <c r="C473"/>
  <c r="H473"/>
  <c r="A474"/>
  <c r="C474"/>
  <c r="H474"/>
  <c r="A475"/>
  <c r="C475"/>
  <c r="H475"/>
  <c r="A476"/>
  <c r="C476"/>
  <c r="H476"/>
  <c r="A477"/>
  <c r="C477"/>
  <c r="H477"/>
  <c r="A478"/>
  <c r="C478"/>
  <c r="H478"/>
  <c r="A479"/>
  <c r="C479"/>
  <c r="H479"/>
  <c r="A480"/>
  <c r="C480"/>
  <c r="H480"/>
  <c r="A481"/>
  <c r="C481"/>
  <c r="H481"/>
  <c r="A482"/>
  <c r="C482"/>
  <c r="H482"/>
  <c r="A483"/>
  <c r="C483"/>
  <c r="H483"/>
  <c r="A484"/>
  <c r="C484"/>
  <c r="H484"/>
  <c r="A485"/>
  <c r="C485"/>
  <c r="H485"/>
  <c r="A486"/>
  <c r="C486"/>
  <c r="H486"/>
  <c r="A487"/>
  <c r="C487"/>
  <c r="H487"/>
  <c r="A488"/>
  <c r="C488"/>
  <c r="H488"/>
  <c r="A489"/>
  <c r="C489"/>
  <c r="H489"/>
  <c r="A490"/>
  <c r="C490"/>
  <c r="H490"/>
  <c r="A491"/>
  <c r="C491"/>
  <c r="H491"/>
  <c r="A492"/>
  <c r="C492"/>
  <c r="H492"/>
  <c r="A493"/>
  <c r="C493"/>
  <c r="H493"/>
  <c r="A494"/>
  <c r="C494"/>
  <c r="H494"/>
  <c r="A495"/>
  <c r="C495"/>
  <c r="H495"/>
  <c r="A496"/>
  <c r="C496"/>
  <c r="H496"/>
  <c r="A497"/>
  <c r="C497"/>
  <c r="H497"/>
  <c r="A498"/>
  <c r="C498"/>
  <c r="H498"/>
  <c r="A499"/>
  <c r="C499"/>
  <c r="H499"/>
  <c r="A500"/>
  <c r="C500"/>
  <c r="H500"/>
  <c r="A501"/>
  <c r="C501"/>
  <c r="H501"/>
  <c r="A502"/>
  <c r="C502"/>
  <c r="H502"/>
  <c r="A503"/>
  <c r="C503"/>
  <c r="H503"/>
  <c r="A504"/>
  <c r="C504"/>
  <c r="H504"/>
  <c r="A505"/>
  <c r="C505"/>
  <c r="H505"/>
  <c r="A506"/>
  <c r="C506"/>
  <c r="H506"/>
  <c r="A507"/>
  <c r="C507"/>
  <c r="H507"/>
  <c r="A508"/>
  <c r="C508"/>
  <c r="H508"/>
  <c r="A509"/>
  <c r="C509"/>
  <c r="H509"/>
  <c r="A510"/>
  <c r="C510"/>
  <c r="H510"/>
  <c r="A511"/>
  <c r="C511"/>
  <c r="H511"/>
  <c r="A512"/>
  <c r="C512"/>
  <c r="H512"/>
  <c r="A513"/>
  <c r="C513"/>
  <c r="H513"/>
  <c r="A514"/>
  <c r="C514"/>
  <c r="H514"/>
  <c r="A515"/>
  <c r="C515"/>
  <c r="H515"/>
  <c r="A516"/>
  <c r="C516"/>
  <c r="H516"/>
  <c r="A517"/>
  <c r="C517"/>
  <c r="H517"/>
  <c r="A518"/>
  <c r="C518"/>
  <c r="H518"/>
  <c r="A519"/>
  <c r="C519"/>
  <c r="H519"/>
  <c r="A520"/>
  <c r="C520"/>
  <c r="H520"/>
  <c r="A521"/>
  <c r="C521"/>
  <c r="H521"/>
  <c r="A522"/>
  <c r="C522"/>
  <c r="H522"/>
  <c r="A523"/>
  <c r="C523"/>
  <c r="H523"/>
  <c r="A524"/>
  <c r="C524"/>
  <c r="H524"/>
  <c r="A525"/>
  <c r="C525"/>
  <c r="H525"/>
  <c r="A526"/>
  <c r="C526"/>
  <c r="H526"/>
  <c r="A527"/>
  <c r="C527"/>
  <c r="H527"/>
  <c r="A528"/>
  <c r="C528"/>
  <c r="H528"/>
  <c r="A529"/>
  <c r="C529"/>
  <c r="H529"/>
  <c r="A530"/>
  <c r="C530"/>
  <c r="H530"/>
  <c r="A531"/>
  <c r="C531"/>
  <c r="H531"/>
  <c r="A532"/>
  <c r="C532"/>
  <c r="H532"/>
  <c r="A533"/>
  <c r="C533"/>
  <c r="H533"/>
  <c r="A534"/>
  <c r="C534"/>
  <c r="H534"/>
  <c r="A535"/>
  <c r="C535"/>
  <c r="H535"/>
  <c r="A536"/>
  <c r="C536"/>
  <c r="H536"/>
  <c r="A537"/>
  <c r="C537"/>
  <c r="H537"/>
  <c r="A538"/>
  <c r="C538"/>
  <c r="H538"/>
  <c r="A539"/>
  <c r="C539"/>
  <c r="H539"/>
  <c r="A540"/>
  <c r="C540"/>
  <c r="H540"/>
  <c r="A541"/>
  <c r="C541"/>
  <c r="H541"/>
  <c r="A542"/>
  <c r="C542"/>
  <c r="H542"/>
  <c r="A543"/>
  <c r="C543"/>
  <c r="H543"/>
  <c r="A544"/>
  <c r="C544"/>
  <c r="H544"/>
  <c r="A545"/>
  <c r="C545"/>
  <c r="H545"/>
  <c r="A546"/>
  <c r="C546"/>
  <c r="H546"/>
  <c r="A547"/>
  <c r="C547"/>
  <c r="H547"/>
  <c r="A548"/>
  <c r="C548"/>
  <c r="H548"/>
  <c r="A549"/>
  <c r="C549"/>
  <c r="H549"/>
  <c r="A550"/>
  <c r="C550"/>
  <c r="H550"/>
  <c r="A551"/>
  <c r="C551"/>
  <c r="H551"/>
  <c r="A552"/>
  <c r="C552"/>
  <c r="H552"/>
  <c r="A553"/>
  <c r="C553"/>
  <c r="H553"/>
  <c r="A554"/>
  <c r="C554"/>
  <c r="H554"/>
  <c r="A555"/>
  <c r="C555"/>
  <c r="H555"/>
  <c r="A556"/>
  <c r="C556"/>
  <c r="H556"/>
  <c r="A557"/>
  <c r="C557"/>
  <c r="H557"/>
  <c r="A558"/>
  <c r="C558"/>
  <c r="H558"/>
  <c r="A559"/>
  <c r="C559"/>
  <c r="H559"/>
  <c r="A560"/>
  <c r="C560"/>
  <c r="H560"/>
  <c r="A561"/>
  <c r="C561"/>
  <c r="H561"/>
  <c r="A562"/>
  <c r="C562"/>
  <c r="H562"/>
  <c r="A563"/>
  <c r="C563"/>
  <c r="H563"/>
  <c r="A564"/>
  <c r="C564"/>
  <c r="H564"/>
  <c r="A565"/>
  <c r="C565"/>
  <c r="H565"/>
  <c r="A566"/>
  <c r="C566"/>
  <c r="H566"/>
  <c r="A567"/>
  <c r="C567"/>
  <c r="H567"/>
  <c r="A568"/>
  <c r="C568"/>
  <c r="H568"/>
  <c r="A569"/>
  <c r="C569"/>
  <c r="H569"/>
  <c r="A570"/>
  <c r="C570"/>
  <c r="H570"/>
  <c r="A571"/>
  <c r="C571"/>
  <c r="H571"/>
  <c r="A572"/>
  <c r="C572"/>
  <c r="H572"/>
  <c r="A573"/>
  <c r="C573"/>
  <c r="H573"/>
  <c r="A574"/>
  <c r="C574"/>
  <c r="H574"/>
  <c r="A575"/>
  <c r="C575"/>
  <c r="H575"/>
  <c r="A576"/>
  <c r="C576"/>
  <c r="H576"/>
  <c r="A577"/>
  <c r="C577"/>
  <c r="H577"/>
  <c r="A578"/>
  <c r="C578"/>
  <c r="H578"/>
  <c r="A579"/>
  <c r="C579"/>
  <c r="H579"/>
  <c r="A580"/>
  <c r="C580"/>
  <c r="H580"/>
  <c r="A581"/>
  <c r="C581"/>
  <c r="H581"/>
  <c r="A582"/>
  <c r="C582"/>
  <c r="H582"/>
  <c r="A583"/>
  <c r="C583"/>
  <c r="H583"/>
  <c r="A584"/>
  <c r="C584"/>
  <c r="H584"/>
  <c r="A585"/>
  <c r="C585"/>
  <c r="H585"/>
  <c r="A586"/>
  <c r="C586"/>
  <c r="H586"/>
  <c r="A587"/>
  <c r="C587"/>
  <c r="H587"/>
  <c r="A588"/>
  <c r="C588"/>
  <c r="H588"/>
  <c r="A589"/>
  <c r="C589"/>
  <c r="H589"/>
  <c r="A590"/>
  <c r="C590"/>
  <c r="H590"/>
  <c r="A591"/>
  <c r="C591"/>
  <c r="H591"/>
  <c r="A592"/>
  <c r="C592"/>
  <c r="H592"/>
  <c r="A593"/>
  <c r="C593"/>
  <c r="H593"/>
  <c r="A594"/>
  <c r="C594"/>
  <c r="H594"/>
  <c r="A595"/>
  <c r="C595"/>
  <c r="H595"/>
  <c r="A596"/>
  <c r="C596"/>
  <c r="H596"/>
  <c r="A597"/>
  <c r="C597"/>
  <c r="H597"/>
  <c r="A598"/>
  <c r="C598"/>
  <c r="H598"/>
  <c r="A599"/>
  <c r="C599"/>
  <c r="H599"/>
  <c r="A600"/>
  <c r="C600"/>
  <c r="H600"/>
  <c r="A601"/>
  <c r="C601"/>
  <c r="H601"/>
  <c r="A602"/>
  <c r="C602"/>
  <c r="H602"/>
  <c r="A603"/>
  <c r="C603"/>
  <c r="H603"/>
  <c r="A604"/>
  <c r="C604"/>
  <c r="H604"/>
  <c r="A605"/>
  <c r="C605"/>
  <c r="H605"/>
  <c r="A606"/>
  <c r="C606"/>
  <c r="H606"/>
  <c r="A607"/>
  <c r="C607"/>
  <c r="H607"/>
  <c r="A608"/>
  <c r="C608"/>
  <c r="H608"/>
  <c r="A609"/>
  <c r="C609"/>
  <c r="H609"/>
  <c r="A610"/>
  <c r="C610"/>
  <c r="H610"/>
  <c r="A611"/>
  <c r="C611"/>
  <c r="H611"/>
  <c r="A612"/>
  <c r="C612"/>
  <c r="H612"/>
  <c r="A613"/>
  <c r="C613"/>
  <c r="H613"/>
  <c r="A614"/>
  <c r="C614"/>
  <c r="E614"/>
  <c r="H614"/>
  <c r="A615"/>
  <c r="C615"/>
  <c r="H615"/>
  <c r="A616"/>
  <c r="C616"/>
  <c r="H616"/>
  <c r="A617"/>
  <c r="C617"/>
  <c r="H617"/>
  <c r="A618"/>
  <c r="C618"/>
  <c r="H618"/>
  <c r="A619"/>
  <c r="C619"/>
  <c r="H619"/>
  <c r="A620"/>
  <c r="C620"/>
  <c r="H620"/>
  <c r="A621"/>
  <c r="C621"/>
  <c r="H621"/>
  <c r="A622"/>
  <c r="C622"/>
  <c r="H622"/>
  <c r="A623"/>
  <c r="C623"/>
  <c r="H623"/>
  <c r="A624"/>
  <c r="C624"/>
  <c r="H624"/>
  <c r="A625"/>
  <c r="C625"/>
  <c r="H625"/>
  <c r="A626"/>
  <c r="C626"/>
  <c r="H626"/>
  <c r="A627"/>
  <c r="C627"/>
  <c r="H627"/>
  <c r="A628"/>
  <c r="C628"/>
  <c r="H628"/>
  <c r="A629"/>
  <c r="C629"/>
  <c r="H629"/>
  <c r="A630"/>
  <c r="C630"/>
  <c r="H630"/>
  <c r="A631"/>
  <c r="C631"/>
  <c r="H631"/>
  <c r="A632"/>
  <c r="C632"/>
  <c r="H632"/>
  <c r="A633"/>
  <c r="C633"/>
  <c r="H633"/>
  <c r="A634"/>
  <c r="C634"/>
  <c r="H634"/>
  <c r="A635"/>
  <c r="C635"/>
  <c r="H635"/>
  <c r="A636"/>
  <c r="C636"/>
  <c r="H636"/>
  <c r="A637"/>
  <c r="C637"/>
  <c r="H637"/>
  <c r="A638"/>
  <c r="C638"/>
  <c r="H638"/>
  <c r="A639"/>
  <c r="C639"/>
  <c r="H639"/>
  <c r="A640"/>
  <c r="C640"/>
  <c r="H640"/>
  <c r="A641"/>
  <c r="C641"/>
  <c r="H641"/>
  <c r="A642"/>
  <c r="C642"/>
  <c r="H642"/>
  <c r="A643"/>
  <c r="C643"/>
  <c r="H643"/>
  <c r="A644"/>
  <c r="C644"/>
  <c r="H644"/>
  <c r="A645"/>
  <c r="C645"/>
  <c r="H645"/>
  <c r="A646"/>
  <c r="C646"/>
  <c r="H646"/>
  <c r="A647"/>
  <c r="C647"/>
  <c r="H647"/>
  <c r="A648"/>
  <c r="C648"/>
  <c r="H648"/>
  <c r="A649"/>
  <c r="C649"/>
  <c r="H649"/>
  <c r="A650"/>
  <c r="C650"/>
  <c r="H650"/>
  <c r="A651"/>
  <c r="C651"/>
  <c r="H651"/>
  <c r="A652"/>
  <c r="C652"/>
  <c r="H652"/>
  <c r="A653"/>
  <c r="C653"/>
  <c r="H653"/>
  <c r="A654"/>
  <c r="C654"/>
  <c r="H654"/>
  <c r="A655"/>
  <c r="C655"/>
  <c r="H655"/>
  <c r="A656"/>
  <c r="C656"/>
  <c r="H656"/>
  <c r="A657"/>
  <c r="C657"/>
  <c r="H657"/>
  <c r="A658"/>
  <c r="C658"/>
  <c r="H658"/>
  <c r="A659"/>
  <c r="C659"/>
  <c r="G659"/>
  <c r="H659"/>
  <c r="A660"/>
  <c r="C660"/>
  <c r="H660"/>
  <c r="A661"/>
  <c r="C661"/>
  <c r="H661"/>
  <c r="A662"/>
  <c r="C662"/>
  <c r="H662"/>
  <c r="A663"/>
  <c r="C663"/>
  <c r="H663"/>
  <c r="A664"/>
  <c r="C664"/>
  <c r="H664"/>
  <c r="A665"/>
  <c r="C665"/>
  <c r="H665"/>
  <c r="A666"/>
  <c r="C666"/>
  <c r="H666"/>
  <c r="A667"/>
  <c r="C667"/>
  <c r="H667"/>
  <c r="A668"/>
  <c r="C668"/>
  <c r="H668"/>
  <c r="A669"/>
  <c r="C669"/>
  <c r="H669"/>
  <c r="A670"/>
  <c r="C670"/>
  <c r="H670"/>
  <c r="A671"/>
  <c r="C671"/>
  <c r="H671"/>
  <c r="A672"/>
  <c r="C672"/>
  <c r="H672"/>
  <c r="A673"/>
  <c r="C673"/>
  <c r="H673"/>
  <c r="A674"/>
  <c r="C674"/>
  <c r="H674"/>
  <c r="A675"/>
  <c r="C675"/>
  <c r="H675"/>
  <c r="A676"/>
  <c r="C676"/>
  <c r="H676"/>
  <c r="A677"/>
  <c r="C677"/>
  <c r="H677"/>
  <c r="A678"/>
  <c r="C678"/>
  <c r="H678"/>
  <c r="A679"/>
  <c r="C679"/>
  <c r="H679"/>
  <c r="A680"/>
  <c r="C680"/>
  <c r="H680"/>
  <c r="A681"/>
  <c r="C681"/>
  <c r="H681"/>
  <c r="A682"/>
  <c r="C682"/>
  <c r="H682"/>
  <c r="A683"/>
  <c r="C683"/>
  <c r="H683"/>
  <c r="A684"/>
  <c r="C684"/>
  <c r="H684"/>
  <c r="A685"/>
  <c r="C685"/>
  <c r="H685"/>
  <c r="A686"/>
  <c r="C686"/>
  <c r="H686"/>
  <c r="A687"/>
  <c r="C687"/>
  <c r="H687"/>
  <c r="A688"/>
  <c r="C688"/>
  <c r="H688"/>
  <c r="A689"/>
  <c r="C689"/>
  <c r="H689"/>
  <c r="A690"/>
  <c r="C690"/>
  <c r="H690"/>
  <c r="A691"/>
  <c r="C691"/>
  <c r="H691"/>
  <c r="A692"/>
  <c r="C692"/>
  <c r="H692"/>
  <c r="A693"/>
  <c r="C693"/>
  <c r="H693"/>
  <c r="A694"/>
  <c r="C694"/>
  <c r="H694"/>
  <c r="A695"/>
  <c r="C695"/>
  <c r="H695"/>
  <c r="A696"/>
  <c r="C696"/>
  <c r="H696"/>
  <c r="A697"/>
  <c r="C697"/>
  <c r="E697"/>
  <c r="H697"/>
  <c r="A698"/>
  <c r="C698"/>
  <c r="H698"/>
  <c r="A699"/>
  <c r="C699"/>
  <c r="H699"/>
  <c r="A700"/>
  <c r="C700"/>
  <c r="H700"/>
  <c r="A701"/>
  <c r="C701"/>
  <c r="H701"/>
  <c r="A702"/>
  <c r="C702"/>
  <c r="H702"/>
  <c r="A703"/>
  <c r="C703"/>
  <c r="H703"/>
  <c r="A704"/>
  <c r="C704"/>
  <c r="H704"/>
  <c r="A705"/>
  <c r="C705"/>
  <c r="H705"/>
  <c r="A706"/>
  <c r="C706"/>
  <c r="H706"/>
  <c r="A707"/>
  <c r="C707"/>
  <c r="H707"/>
  <c r="A708"/>
  <c r="C708"/>
  <c r="H708"/>
  <c r="A709"/>
  <c r="C709"/>
  <c r="H709"/>
  <c r="A710"/>
  <c r="C710"/>
  <c r="H710"/>
  <c r="A711"/>
  <c r="C711"/>
  <c r="H711"/>
  <c r="A712"/>
  <c r="C712"/>
  <c r="H712"/>
  <c r="A713"/>
  <c r="C713"/>
  <c r="H713"/>
  <c r="A714"/>
  <c r="C714"/>
  <c r="H714"/>
  <c r="A715"/>
  <c r="C715"/>
  <c r="H715"/>
  <c r="A716"/>
  <c r="C716"/>
  <c r="H716"/>
  <c r="A717"/>
  <c r="C717"/>
  <c r="H717"/>
  <c r="A718"/>
  <c r="C718"/>
  <c r="H718"/>
  <c r="A719"/>
  <c r="C719"/>
  <c r="H719"/>
  <c r="A720"/>
  <c r="C720"/>
  <c r="H720"/>
  <c r="A721"/>
  <c r="C721"/>
  <c r="H721"/>
  <c r="A722"/>
  <c r="C722"/>
  <c r="H722"/>
  <c r="A723"/>
  <c r="C723"/>
  <c r="H723"/>
  <c r="A724"/>
  <c r="C724"/>
  <c r="H724"/>
  <c r="A725"/>
  <c r="C725"/>
  <c r="H725"/>
  <c r="A726"/>
  <c r="C726"/>
  <c r="H726"/>
  <c r="A727"/>
  <c r="C727"/>
  <c r="H727"/>
  <c r="A728"/>
  <c r="C728"/>
  <c r="H728"/>
  <c r="A729"/>
  <c r="C729"/>
  <c r="H729"/>
  <c r="A730"/>
  <c r="C730"/>
  <c r="H730"/>
  <c r="A731"/>
  <c r="C731"/>
  <c r="H731"/>
  <c r="A732"/>
  <c r="C732"/>
  <c r="H732"/>
  <c r="A733"/>
  <c r="C733"/>
  <c r="H733"/>
  <c r="A734"/>
  <c r="C734"/>
  <c r="H734"/>
  <c r="A735"/>
  <c r="C735"/>
  <c r="H735"/>
  <c r="A736"/>
  <c r="C736"/>
  <c r="H736"/>
  <c r="A737"/>
  <c r="C737"/>
  <c r="H737"/>
  <c r="A738"/>
  <c r="C738"/>
  <c r="H738"/>
  <c r="A739"/>
  <c r="C739"/>
  <c r="H739"/>
  <c r="A740"/>
  <c r="C740"/>
  <c r="H740"/>
  <c r="A741"/>
  <c r="C741"/>
  <c r="H741"/>
  <c r="A742"/>
  <c r="C742"/>
  <c r="H742"/>
  <c r="A743"/>
  <c r="C743"/>
  <c r="H743"/>
  <c r="A744"/>
  <c r="C744"/>
  <c r="H744"/>
  <c r="A745"/>
  <c r="C745"/>
  <c r="H745"/>
  <c r="A746"/>
  <c r="C746"/>
  <c r="H746"/>
  <c r="A747"/>
  <c r="C747"/>
  <c r="H747"/>
  <c r="A748"/>
  <c r="C748"/>
  <c r="H748"/>
  <c r="A749"/>
  <c r="C749"/>
  <c r="H749"/>
  <c r="A750"/>
  <c r="C750"/>
  <c r="H750"/>
  <c r="A751"/>
  <c r="C751"/>
  <c r="H751"/>
  <c r="A752"/>
  <c r="C752"/>
  <c r="H752"/>
  <c r="A753"/>
  <c r="C753"/>
  <c r="H753"/>
  <c r="A754"/>
  <c r="C754"/>
  <c r="H754"/>
  <c r="A755"/>
  <c r="C755"/>
  <c r="H755"/>
  <c r="A756"/>
  <c r="C756"/>
  <c r="H756"/>
  <c r="A757"/>
  <c r="C757"/>
  <c r="H757"/>
  <c r="A758"/>
  <c r="C758"/>
  <c r="H758"/>
  <c r="A759"/>
  <c r="C759"/>
  <c r="H759"/>
  <c r="A760"/>
  <c r="C760"/>
  <c r="H760"/>
  <c r="A761"/>
  <c r="C761"/>
  <c r="H761"/>
  <c r="A762"/>
  <c r="C762"/>
  <c r="H762"/>
  <c r="A763"/>
  <c r="C763"/>
  <c r="H763"/>
  <c r="A764"/>
  <c r="C764"/>
  <c r="H764"/>
  <c r="A765"/>
  <c r="C765"/>
  <c r="H765"/>
  <c r="A766"/>
  <c r="C766"/>
  <c r="H766"/>
  <c r="A767"/>
  <c r="C767"/>
  <c r="H767"/>
  <c r="A768"/>
  <c r="C768"/>
  <c r="H768"/>
  <c r="A769"/>
  <c r="C769"/>
  <c r="H769"/>
  <c r="A770"/>
  <c r="C770"/>
  <c r="H770"/>
  <c r="A771"/>
  <c r="C771"/>
  <c r="H771"/>
  <c r="A772"/>
  <c r="C772"/>
  <c r="H772"/>
  <c r="A773"/>
  <c r="C773"/>
  <c r="H773"/>
  <c r="A774"/>
  <c r="C774"/>
  <c r="H774"/>
  <c r="A775"/>
  <c r="C775"/>
  <c r="H775"/>
  <c r="A776"/>
  <c r="C776"/>
  <c r="H776"/>
  <c r="A777"/>
  <c r="C777"/>
  <c r="H777"/>
  <c r="A778"/>
  <c r="C778"/>
  <c r="H778"/>
  <c r="A779"/>
  <c r="C779"/>
  <c r="H779"/>
  <c r="A780"/>
  <c r="C780"/>
  <c r="H780"/>
  <c r="A781"/>
  <c r="C781"/>
  <c r="H781"/>
  <c r="A782"/>
  <c r="C782"/>
  <c r="H782"/>
  <c r="A783"/>
  <c r="C783"/>
  <c r="H783"/>
  <c r="A784"/>
  <c r="C784"/>
  <c r="H784"/>
  <c r="A785"/>
  <c r="C785"/>
  <c r="H785"/>
  <c r="A786"/>
  <c r="C786"/>
  <c r="H786"/>
  <c r="A787"/>
  <c r="C787"/>
  <c r="H787"/>
  <c r="A788"/>
  <c r="C788"/>
  <c r="H788"/>
  <c r="A789"/>
  <c r="C789"/>
  <c r="H789"/>
  <c r="A790"/>
  <c r="C790"/>
  <c r="H790"/>
  <c r="A791"/>
  <c r="C791"/>
  <c r="H791"/>
  <c r="A792"/>
  <c r="C792"/>
  <c r="H792"/>
  <c r="A793"/>
  <c r="C793"/>
  <c r="H793"/>
  <c r="A794"/>
  <c r="C794"/>
  <c r="H794"/>
  <c r="A795"/>
  <c r="C795"/>
  <c r="H795"/>
  <c r="A796"/>
  <c r="C796"/>
  <c r="H796"/>
  <c r="A797"/>
  <c r="C797"/>
  <c r="E797"/>
  <c r="H797"/>
  <c r="A798"/>
  <c r="C798"/>
  <c r="E798"/>
  <c r="H798"/>
  <c r="A799"/>
  <c r="C799"/>
  <c r="H799"/>
  <c r="A800"/>
  <c r="C800"/>
  <c r="H800"/>
  <c r="A801"/>
  <c r="C801"/>
  <c r="E801"/>
  <c r="H801"/>
  <c r="A802"/>
  <c r="C802"/>
  <c r="E802"/>
  <c r="H802"/>
  <c r="A803"/>
  <c r="C803"/>
  <c r="E803"/>
  <c r="H803"/>
  <c r="A804"/>
  <c r="C804"/>
  <c r="H804"/>
  <c r="A805"/>
  <c r="C805"/>
  <c r="H805"/>
  <c r="A806"/>
  <c r="C806"/>
  <c r="H806"/>
  <c r="A807"/>
  <c r="C807"/>
  <c r="H807"/>
  <c r="A808"/>
  <c r="C808"/>
  <c r="H808"/>
  <c r="A809"/>
  <c r="C809"/>
  <c r="H809"/>
  <c r="A810"/>
  <c r="C810"/>
  <c r="H810"/>
  <c r="A811"/>
  <c r="C811"/>
  <c r="H811"/>
  <c r="A812"/>
  <c r="C812"/>
  <c r="H812"/>
  <c r="A813"/>
  <c r="C813"/>
  <c r="H813"/>
  <c r="A814"/>
  <c r="C814"/>
  <c r="H814"/>
  <c r="A815"/>
  <c r="C815"/>
  <c r="H815"/>
  <c r="A816"/>
  <c r="C816"/>
  <c r="H816"/>
  <c r="A817"/>
  <c r="C817"/>
  <c r="H817"/>
  <c r="A818"/>
  <c r="C818"/>
  <c r="H818"/>
  <c r="A819"/>
  <c r="C819"/>
  <c r="H819"/>
  <c r="A820"/>
  <c r="C820"/>
  <c r="H820"/>
  <c r="A821"/>
  <c r="C821"/>
  <c r="H821"/>
  <c r="A822"/>
  <c r="C822"/>
  <c r="H822"/>
  <c r="A823"/>
  <c r="C823"/>
  <c r="H823"/>
  <c r="A824"/>
  <c r="C824"/>
  <c r="H824"/>
  <c r="A825"/>
  <c r="C825"/>
  <c r="H825"/>
  <c r="A826"/>
  <c r="C826"/>
  <c r="H826"/>
  <c r="A827"/>
  <c r="C827"/>
  <c r="H827"/>
  <c r="A828"/>
  <c r="C828"/>
  <c r="H828"/>
  <c r="A829"/>
  <c r="C829"/>
  <c r="H829"/>
  <c r="A830"/>
  <c r="C830"/>
  <c r="H830"/>
  <c r="A831"/>
  <c r="C831"/>
  <c r="H831"/>
  <c r="A832"/>
  <c r="C832"/>
  <c r="H832"/>
  <c r="A833"/>
  <c r="C833"/>
  <c r="H833"/>
  <c r="A834"/>
  <c r="C834"/>
  <c r="H834"/>
  <c r="A835"/>
  <c r="C835"/>
  <c r="H835"/>
  <c r="A836"/>
  <c r="C836"/>
  <c r="H836"/>
  <c r="A837"/>
  <c r="C837"/>
  <c r="H837"/>
  <c r="A838"/>
  <c r="C838"/>
  <c r="H838"/>
  <c r="A839"/>
  <c r="C839"/>
  <c r="H839"/>
  <c r="A840"/>
  <c r="C840"/>
  <c r="H840"/>
  <c r="A841"/>
  <c r="C841"/>
  <c r="H841"/>
  <c r="A842"/>
  <c r="C842"/>
  <c r="H842"/>
  <c r="A843"/>
  <c r="C843"/>
  <c r="H843"/>
  <c r="A844"/>
  <c r="C844"/>
  <c r="H844"/>
  <c r="A845"/>
  <c r="C845"/>
  <c r="H845"/>
  <c r="A846"/>
  <c r="C846"/>
  <c r="H846"/>
  <c r="A847"/>
  <c r="C847"/>
  <c r="H847"/>
  <c r="A848"/>
  <c r="C848"/>
  <c r="H848"/>
  <c r="A849"/>
  <c r="C849"/>
  <c r="H849"/>
  <c r="A850"/>
  <c r="C850"/>
  <c r="H850"/>
  <c r="A851"/>
  <c r="C851"/>
  <c r="H851"/>
  <c r="A852"/>
  <c r="C852"/>
  <c r="H852"/>
  <c r="A853"/>
  <c r="C853"/>
  <c r="H853"/>
  <c r="A854"/>
  <c r="C854"/>
  <c r="H854"/>
  <c r="A855"/>
  <c r="C855"/>
  <c r="G855"/>
  <c r="H855"/>
  <c r="A856"/>
  <c r="C856"/>
  <c r="H856"/>
  <c r="A857"/>
  <c r="C857"/>
  <c r="H857"/>
  <c r="A858"/>
  <c r="C858"/>
  <c r="H858"/>
  <c r="A859"/>
  <c r="C859"/>
  <c r="H859"/>
  <c r="A860"/>
  <c r="C860"/>
  <c r="H860"/>
  <c r="A861"/>
  <c r="C861"/>
  <c r="H861"/>
  <c r="A862"/>
  <c r="C862"/>
  <c r="H862"/>
  <c r="A863"/>
  <c r="C863"/>
  <c r="H863"/>
  <c r="A864"/>
  <c r="C864"/>
  <c r="H864"/>
  <c r="A865"/>
  <c r="C865"/>
  <c r="H865"/>
  <c r="A866"/>
  <c r="C866"/>
  <c r="H866"/>
  <c r="A867"/>
  <c r="C867"/>
  <c r="H867"/>
  <c r="A868"/>
  <c r="C868"/>
  <c r="H868"/>
  <c r="A869"/>
  <c r="C869"/>
  <c r="H869"/>
  <c r="A870"/>
  <c r="C870"/>
  <c r="H870"/>
  <c r="A871"/>
  <c r="C871"/>
  <c r="H871"/>
  <c r="A872"/>
  <c r="C872"/>
  <c r="H872"/>
  <c r="A873"/>
  <c r="C873"/>
  <c r="H873"/>
  <c r="A874"/>
  <c r="C874"/>
  <c r="H874"/>
  <c r="A875"/>
  <c r="C875"/>
  <c r="H875"/>
  <c r="A876"/>
  <c r="C876"/>
  <c r="H876"/>
  <c r="A877"/>
  <c r="C877"/>
  <c r="H877"/>
  <c r="A878"/>
  <c r="C878"/>
  <c r="H878"/>
  <c r="A879"/>
  <c r="C879"/>
  <c r="H879"/>
  <c r="A880"/>
  <c r="C880"/>
  <c r="H880"/>
  <c r="A881"/>
  <c r="C881"/>
  <c r="H881"/>
  <c r="A882"/>
  <c r="C882"/>
  <c r="H882"/>
  <c r="A883"/>
  <c r="C883"/>
  <c r="H883"/>
  <c r="A884"/>
  <c r="C884"/>
  <c r="H884"/>
  <c r="A885"/>
  <c r="C885"/>
  <c r="H885"/>
  <c r="A886"/>
  <c r="C886"/>
  <c r="H886"/>
  <c r="A887"/>
  <c r="C887"/>
  <c r="H887"/>
  <c r="A888"/>
  <c r="C888"/>
  <c r="H888"/>
  <c r="A889"/>
  <c r="C889"/>
  <c r="H889"/>
  <c r="A890"/>
  <c r="C890"/>
  <c r="H890"/>
  <c r="A891"/>
  <c r="C891"/>
  <c r="H891"/>
  <c r="A892"/>
  <c r="C892"/>
  <c r="H892"/>
  <c r="A893"/>
  <c r="C893"/>
  <c r="H893"/>
  <c r="A894"/>
  <c r="C894"/>
  <c r="H894"/>
  <c r="A895"/>
  <c r="C895"/>
  <c r="H895"/>
  <c r="A896"/>
  <c r="C896"/>
  <c r="H896"/>
  <c r="A897"/>
  <c r="C897"/>
  <c r="H897"/>
  <c r="A898"/>
  <c r="C898"/>
  <c r="H898"/>
  <c r="A899"/>
  <c r="C899"/>
  <c r="H899"/>
  <c r="A900"/>
  <c r="C900"/>
  <c r="H900"/>
  <c r="A901"/>
  <c r="C901"/>
  <c r="H901"/>
  <c r="A902"/>
  <c r="C902"/>
  <c r="H902"/>
  <c r="A903"/>
  <c r="C903"/>
  <c r="H903"/>
  <c r="A904"/>
  <c r="C904"/>
  <c r="H904"/>
  <c r="A905"/>
  <c r="C905"/>
  <c r="H905"/>
  <c r="A906"/>
  <c r="C906"/>
  <c r="H906"/>
  <c r="A907"/>
  <c r="C907"/>
  <c r="H907"/>
  <c r="A908"/>
  <c r="C908"/>
  <c r="H908"/>
  <c r="A909"/>
  <c r="C909"/>
  <c r="H909"/>
  <c r="A910"/>
  <c r="C910"/>
  <c r="H910"/>
  <c r="A911"/>
  <c r="C911"/>
  <c r="F911"/>
  <c r="H911"/>
  <c r="A912"/>
  <c r="C912"/>
  <c r="H912"/>
  <c r="A913"/>
  <c r="C913"/>
  <c r="H913"/>
  <c r="A914"/>
  <c r="C914"/>
  <c r="H914"/>
  <c r="A915"/>
  <c r="C915"/>
  <c r="H915"/>
  <c r="A916"/>
  <c r="C916"/>
  <c r="H916"/>
  <c r="A917"/>
  <c r="C917"/>
  <c r="H917"/>
  <c r="A918"/>
  <c r="C918"/>
  <c r="H918"/>
  <c r="A919"/>
  <c r="C919"/>
  <c r="H919"/>
  <c r="A920"/>
  <c r="C920"/>
  <c r="H920"/>
  <c r="A921"/>
  <c r="C921"/>
  <c r="H921"/>
  <c r="A922"/>
  <c r="C922"/>
  <c r="H922"/>
  <c r="A923"/>
  <c r="C923"/>
  <c r="H923"/>
  <c r="A924"/>
  <c r="C924"/>
  <c r="H924"/>
  <c r="A925"/>
  <c r="C925"/>
  <c r="H925"/>
  <c r="A926"/>
  <c r="C926"/>
  <c r="H926"/>
  <c r="A927"/>
  <c r="C927"/>
  <c r="H927"/>
  <c r="A928"/>
  <c r="C928"/>
  <c r="H928"/>
  <c r="A929"/>
  <c r="C929"/>
  <c r="H929"/>
  <c r="A930"/>
  <c r="C930"/>
  <c r="H930"/>
  <c r="A931"/>
  <c r="C931"/>
  <c r="H931"/>
  <c r="A932"/>
  <c r="C932"/>
  <c r="H932"/>
  <c r="A933"/>
  <c r="C933"/>
  <c r="H933"/>
  <c r="A934"/>
  <c r="C934"/>
  <c r="H934"/>
  <c r="A935"/>
  <c r="C935"/>
  <c r="H935"/>
  <c r="A936"/>
  <c r="C936"/>
  <c r="H936"/>
  <c r="A937"/>
  <c r="C937"/>
  <c r="H937"/>
  <c r="A938"/>
  <c r="C938"/>
  <c r="H938"/>
  <c r="A939"/>
  <c r="C939"/>
  <c r="H939"/>
  <c r="A940"/>
  <c r="C940"/>
  <c r="H940"/>
  <c r="A941"/>
  <c r="C941"/>
  <c r="H941"/>
  <c r="A942"/>
  <c r="C942"/>
  <c r="H942"/>
  <c r="A943"/>
  <c r="C943"/>
  <c r="H943"/>
  <c r="A944"/>
  <c r="C944"/>
  <c r="H944"/>
  <c r="A945"/>
  <c r="C945"/>
  <c r="H945"/>
  <c r="A946"/>
  <c r="C946"/>
  <c r="H946"/>
  <c r="A947"/>
  <c r="C947"/>
  <c r="E947"/>
  <c r="H947"/>
  <c r="A948"/>
  <c r="C948"/>
  <c r="H948"/>
  <c r="A949"/>
  <c r="C949"/>
  <c r="H949"/>
  <c r="A950"/>
  <c r="C950"/>
  <c r="H950"/>
  <c r="A951"/>
  <c r="C951"/>
  <c r="H951"/>
  <c r="A952"/>
  <c r="C952"/>
  <c r="H952"/>
  <c r="A953"/>
  <c r="C953"/>
  <c r="H953"/>
  <c r="A954"/>
  <c r="C954"/>
  <c r="H954"/>
  <c r="A955"/>
  <c r="C955"/>
  <c r="H955"/>
  <c r="A956"/>
  <c r="C956"/>
  <c r="G956"/>
  <c r="H956"/>
  <c r="A957"/>
  <c r="C957"/>
  <c r="H957"/>
  <c r="A958"/>
  <c r="C958"/>
  <c r="H958"/>
  <c r="A959"/>
  <c r="C959"/>
  <c r="H959"/>
  <c r="A960"/>
  <c r="C960"/>
  <c r="H960"/>
  <c r="A961"/>
  <c r="C961"/>
  <c r="H961"/>
  <c r="A962"/>
  <c r="C962"/>
  <c r="H962"/>
  <c r="A963"/>
  <c r="C963"/>
  <c r="H963"/>
  <c r="A964"/>
  <c r="C964"/>
  <c r="H964"/>
  <c r="A965"/>
  <c r="C965"/>
  <c r="H965"/>
  <c r="A966"/>
  <c r="C966"/>
  <c r="H966"/>
  <c r="A967"/>
  <c r="C967"/>
  <c r="H967"/>
  <c r="A968"/>
  <c r="C968"/>
  <c r="H968"/>
  <c r="A969"/>
  <c r="C969"/>
  <c r="H969"/>
  <c r="A970"/>
  <c r="C970"/>
  <c r="H970"/>
  <c r="A971"/>
  <c r="C971"/>
  <c r="H971"/>
  <c r="A972"/>
  <c r="C972"/>
  <c r="H972"/>
  <c r="A973"/>
  <c r="C973"/>
  <c r="H973"/>
  <c r="A974"/>
  <c r="C974"/>
  <c r="H974"/>
  <c r="A975"/>
  <c r="C975"/>
  <c r="H975"/>
  <c r="A976"/>
  <c r="C976"/>
  <c r="H976"/>
  <c r="A977"/>
  <c r="C977"/>
  <c r="H977"/>
  <c r="A978"/>
  <c r="C978"/>
  <c r="H978"/>
  <c r="A979"/>
  <c r="C979"/>
  <c r="H979"/>
  <c r="A980"/>
  <c r="C980"/>
  <c r="H980"/>
  <c r="A981"/>
  <c r="C981"/>
  <c r="H981"/>
  <c r="A982"/>
  <c r="C982"/>
  <c r="H982"/>
  <c r="A983"/>
  <c r="C983"/>
  <c r="H983"/>
  <c r="A984"/>
  <c r="C984"/>
  <c r="H984"/>
  <c r="A985"/>
  <c r="C985"/>
  <c r="H985"/>
  <c r="A986"/>
  <c r="C986"/>
  <c r="H986"/>
  <c r="A987"/>
  <c r="C987"/>
  <c r="H987"/>
  <c r="A988"/>
  <c r="C988"/>
  <c r="H988"/>
  <c r="A989"/>
  <c r="C989"/>
  <c r="H989"/>
  <c r="A990"/>
  <c r="C990"/>
  <c r="H990"/>
  <c r="A991"/>
  <c r="C991"/>
  <c r="H991"/>
  <c r="A992"/>
  <c r="C992"/>
  <c r="H992"/>
  <c r="A993"/>
  <c r="C993"/>
  <c r="H993"/>
  <c r="A994"/>
  <c r="C994"/>
  <c r="H994"/>
  <c r="A995"/>
  <c r="C995"/>
  <c r="H995"/>
  <c r="A996"/>
  <c r="C996"/>
  <c r="H996"/>
  <c r="A997"/>
  <c r="C997"/>
  <c r="H997"/>
  <c r="A998"/>
  <c r="C998"/>
  <c r="H998"/>
  <c r="A999"/>
  <c r="C999"/>
  <c r="H999"/>
  <c r="A1000"/>
  <c r="C1000"/>
  <c r="H1000"/>
  <c r="A1001"/>
  <c r="C1001"/>
  <c r="H1001"/>
  <c r="A1002"/>
  <c r="C1002"/>
  <c r="E1002"/>
  <c r="H1002"/>
  <c r="A1003"/>
  <c r="C1003"/>
  <c r="E1003"/>
  <c r="H1003"/>
  <c r="A1004"/>
  <c r="C1004"/>
  <c r="E1004"/>
  <c r="H1004"/>
  <c r="A1005"/>
  <c r="C1005"/>
  <c r="E1005"/>
  <c r="H1005"/>
  <c r="A1006"/>
  <c r="C1006"/>
  <c r="H1006"/>
  <c r="A1007"/>
  <c r="C1007"/>
  <c r="H1007"/>
  <c r="A1008"/>
  <c r="C1008"/>
  <c r="E1008"/>
  <c r="H1008"/>
  <c r="A1009"/>
  <c r="C1009"/>
  <c r="H1009"/>
  <c r="A1010"/>
  <c r="C1010"/>
  <c r="H1010"/>
  <c r="A1011"/>
  <c r="C1011"/>
  <c r="H1011"/>
  <c r="A1012"/>
  <c r="C1012"/>
  <c r="H1012"/>
  <c r="A1013"/>
  <c r="C1013"/>
  <c r="H1013"/>
  <c r="A1014"/>
  <c r="C1014"/>
  <c r="H1014"/>
  <c r="A1015"/>
  <c r="C1015"/>
  <c r="H1015"/>
  <c r="A1016"/>
  <c r="C1016"/>
  <c r="H1016"/>
  <c r="A1017"/>
  <c r="C1017"/>
  <c r="H1017"/>
  <c r="A1018"/>
  <c r="C1018"/>
  <c r="H1018"/>
  <c r="A1019"/>
  <c r="C1019"/>
  <c r="H1019"/>
  <c r="A1020"/>
  <c r="C1020"/>
  <c r="H1020"/>
  <c r="A1021"/>
  <c r="C1021"/>
  <c r="H1021"/>
  <c r="A1022"/>
  <c r="C1022"/>
  <c r="H1022"/>
  <c r="A1023"/>
  <c r="C1023"/>
  <c r="H1023"/>
  <c r="A1024"/>
  <c r="C1024"/>
  <c r="H1024"/>
  <c r="A1025"/>
  <c r="C1025"/>
  <c r="H1025"/>
  <c r="A1026"/>
  <c r="C1026"/>
  <c r="H1026"/>
  <c r="A1027"/>
  <c r="C1027"/>
  <c r="H1027"/>
  <c r="A1028"/>
  <c r="C1028"/>
  <c r="H1028"/>
  <c r="A1029"/>
  <c r="C1029"/>
  <c r="H1029"/>
  <c r="A1030"/>
  <c r="C1030"/>
  <c r="H1030"/>
  <c r="A1031"/>
  <c r="C1031"/>
  <c r="H1031"/>
  <c r="A1032"/>
  <c r="C1032"/>
  <c r="H1032"/>
  <c r="A1033"/>
  <c r="C1033"/>
  <c r="H1033"/>
  <c r="A1034"/>
  <c r="C1034"/>
  <c r="H1034"/>
  <c r="A1035"/>
  <c r="C1035"/>
  <c r="H1035"/>
  <c r="A1036"/>
  <c r="C1036"/>
  <c r="H1036"/>
  <c r="A1037"/>
  <c r="C1037"/>
  <c r="H1037"/>
  <c r="A1038"/>
  <c r="C1038"/>
  <c r="H1038"/>
  <c r="A1039"/>
  <c r="C1039"/>
  <c r="H1039"/>
  <c r="A1040"/>
  <c r="C1040"/>
  <c r="H1040"/>
  <c r="A1041"/>
  <c r="C1041"/>
  <c r="H1041"/>
  <c r="A1042"/>
  <c r="C1042"/>
  <c r="H1042"/>
  <c r="A1043"/>
  <c r="C1043"/>
  <c r="H1043"/>
  <c r="A1044"/>
  <c r="C1044"/>
  <c r="H1044"/>
  <c r="A1045"/>
  <c r="C1045"/>
  <c r="E1045"/>
  <c r="H1045"/>
  <c r="A1046"/>
  <c r="C1046"/>
  <c r="H1046"/>
  <c r="A1047"/>
  <c r="C1047"/>
  <c r="H1047"/>
  <c r="A1048"/>
  <c r="C1048"/>
  <c r="H1048"/>
  <c r="A1049"/>
  <c r="C1049"/>
  <c r="H1049"/>
  <c r="A1050"/>
  <c r="C1050"/>
  <c r="H1050"/>
  <c r="A1051"/>
  <c r="C1051"/>
  <c r="H1051"/>
  <c r="A1052"/>
  <c r="C1052"/>
  <c r="H1052"/>
  <c r="A1053"/>
  <c r="C1053"/>
  <c r="H1053"/>
  <c r="A1054"/>
  <c r="C1054"/>
  <c r="H1054"/>
  <c r="A1055"/>
  <c r="C1055"/>
  <c r="H1055"/>
  <c r="A1056"/>
  <c r="C1056"/>
  <c r="H1056"/>
  <c r="A1057"/>
  <c r="C1057"/>
  <c r="H1057"/>
  <c r="A1058"/>
  <c r="C1058"/>
  <c r="H1058"/>
  <c r="A1059"/>
  <c r="C1059"/>
  <c r="H1059"/>
  <c r="A1060"/>
  <c r="C1060"/>
  <c r="H1060"/>
  <c r="A1061"/>
  <c r="C1061"/>
  <c r="H1061"/>
  <c r="A1062"/>
  <c r="C1062"/>
  <c r="H1062"/>
  <c r="A1063"/>
  <c r="C1063"/>
  <c r="H1063"/>
  <c r="A1064"/>
  <c r="C1064"/>
  <c r="H1064"/>
  <c r="A1065"/>
  <c r="C1065"/>
  <c r="H1065"/>
  <c r="A1066"/>
  <c r="C1066"/>
  <c r="H1066"/>
  <c r="A1067"/>
  <c r="C1067"/>
  <c r="H1067"/>
  <c r="A1068"/>
  <c r="C1068"/>
  <c r="H1068"/>
  <c r="A1069"/>
  <c r="C1069"/>
  <c r="H1069"/>
  <c r="A1070"/>
  <c r="C1070"/>
  <c r="H1070"/>
  <c r="A1071"/>
  <c r="C1071"/>
  <c r="H1071"/>
  <c r="A1072"/>
  <c r="C1072"/>
  <c r="H1072"/>
  <c r="A1073"/>
  <c r="C1073"/>
  <c r="H1073"/>
  <c r="A1074"/>
  <c r="C1074"/>
  <c r="H1074"/>
  <c r="A1075"/>
  <c r="C1075"/>
  <c r="H1075"/>
  <c r="A1076"/>
  <c r="C1076"/>
  <c r="H1076"/>
  <c r="A1077"/>
  <c r="C1077"/>
  <c r="H1077"/>
  <c r="A1078"/>
  <c r="C1078"/>
  <c r="H1078"/>
  <c r="A1079"/>
  <c r="C1079"/>
  <c r="H1079"/>
  <c r="A1080"/>
  <c r="C1080"/>
  <c r="H1080"/>
  <c r="A1081"/>
  <c r="C1081"/>
  <c r="H1081"/>
  <c r="A1082"/>
  <c r="C1082"/>
  <c r="H1082"/>
  <c r="A1083"/>
  <c r="C1083"/>
  <c r="H1083"/>
  <c r="A1084"/>
  <c r="C1084"/>
  <c r="H1084"/>
  <c r="A1085"/>
  <c r="C1085"/>
  <c r="H1085"/>
  <c r="A1086"/>
  <c r="C1086"/>
  <c r="H1086"/>
  <c r="A1087"/>
  <c r="C1087"/>
  <c r="H1087"/>
  <c r="A1088"/>
  <c r="C1088"/>
  <c r="H1088"/>
  <c r="A1089"/>
  <c r="C1089"/>
  <c r="H1089"/>
  <c r="A1090"/>
  <c r="C1090"/>
  <c r="H1090"/>
  <c r="A1091"/>
  <c r="C1091"/>
  <c r="H1091"/>
  <c r="A1092"/>
  <c r="C1092"/>
  <c r="H1092"/>
  <c r="A1093"/>
  <c r="C1093"/>
  <c r="H1093"/>
  <c r="A1094"/>
  <c r="C1094"/>
  <c r="H1094"/>
  <c r="A1095"/>
  <c r="C1095"/>
  <c r="E1095"/>
  <c r="H1095"/>
  <c r="A1096"/>
  <c r="C1096"/>
  <c r="H1096"/>
  <c r="A1097"/>
  <c r="C1097"/>
  <c r="H1097"/>
  <c r="A1098"/>
  <c r="C1098"/>
  <c r="H1098"/>
  <c r="A1099"/>
  <c r="C1099"/>
  <c r="H1099"/>
  <c r="A1100"/>
  <c r="C1100"/>
  <c r="H1100"/>
  <c r="A1101"/>
  <c r="C1101"/>
  <c r="H1101"/>
  <c r="A1102"/>
  <c r="C1102"/>
  <c r="H1102"/>
  <c r="A1103"/>
  <c r="C1103"/>
  <c r="H1103"/>
  <c r="A1104"/>
  <c r="C1104"/>
  <c r="H1104"/>
  <c r="A1105"/>
  <c r="C1105"/>
  <c r="H1105"/>
  <c r="A1106"/>
  <c r="C1106"/>
  <c r="H1106"/>
  <c r="A1107"/>
  <c r="C1107"/>
  <c r="G1107"/>
  <c r="H1107"/>
  <c r="A1108"/>
  <c r="C1108"/>
  <c r="H1108"/>
  <c r="A1109"/>
  <c r="C1109"/>
  <c r="H1109"/>
  <c r="A1110"/>
  <c r="C1110"/>
  <c r="H1110"/>
  <c r="A1111"/>
  <c r="C1111"/>
  <c r="H1111"/>
  <c r="A1112"/>
  <c r="C1112"/>
  <c r="H1112"/>
  <c r="A1113"/>
  <c r="C1113"/>
  <c r="H1113"/>
  <c r="A1114"/>
  <c r="C1114"/>
  <c r="H1114"/>
  <c r="A1115"/>
  <c r="C1115"/>
  <c r="H1115"/>
  <c r="A1116"/>
  <c r="C1116"/>
  <c r="H1116"/>
  <c r="A1117"/>
  <c r="C1117"/>
  <c r="H1117"/>
  <c r="A1118"/>
  <c r="C1118"/>
  <c r="H1118"/>
  <c r="A1119"/>
  <c r="C1119"/>
  <c r="H1119"/>
  <c r="A1120"/>
  <c r="C1120"/>
  <c r="H1120"/>
  <c r="A1121"/>
  <c r="C1121"/>
  <c r="H1121"/>
  <c r="A1122"/>
  <c r="C1122"/>
  <c r="H1122"/>
  <c r="A1123"/>
  <c r="C1123"/>
  <c r="H1123"/>
  <c r="A1124"/>
  <c r="C1124"/>
  <c r="H1124"/>
  <c r="A1125"/>
  <c r="C1125"/>
  <c r="H1125"/>
  <c r="A1126"/>
  <c r="C1126"/>
  <c r="H1126"/>
  <c r="A1127"/>
  <c r="C1127"/>
  <c r="H1127"/>
  <c r="A1128"/>
  <c r="C1128"/>
  <c r="H1128"/>
  <c r="A1129"/>
  <c r="C1129"/>
  <c r="H1129"/>
  <c r="A1130"/>
  <c r="C1130"/>
  <c r="H1130"/>
  <c r="A1131"/>
  <c r="C1131"/>
  <c r="H1131"/>
  <c r="A1132"/>
  <c r="C1132"/>
  <c r="H1132"/>
  <c r="A1133"/>
  <c r="C1133"/>
  <c r="H1133"/>
  <c r="A1134"/>
  <c r="C1134"/>
  <c r="H1134"/>
  <c r="A1135"/>
  <c r="C1135"/>
  <c r="H1135"/>
  <c r="A1136"/>
  <c r="C1136"/>
  <c r="H1136"/>
  <c r="A1137"/>
  <c r="C1137"/>
  <c r="H1137"/>
  <c r="A1138"/>
  <c r="C1138"/>
  <c r="H1138"/>
  <c r="A1139"/>
  <c r="C1139"/>
  <c r="H1139"/>
  <c r="A1140"/>
  <c r="C1140"/>
  <c r="H1140"/>
  <c r="A1141"/>
  <c r="C1141"/>
  <c r="H1141"/>
  <c r="A1142"/>
  <c r="C1142"/>
  <c r="H1142"/>
  <c r="A1143"/>
  <c r="C1143"/>
  <c r="H1143"/>
  <c r="A1144"/>
  <c r="C1144"/>
  <c r="E1144"/>
  <c r="H1144"/>
  <c r="A1145"/>
  <c r="C1145"/>
  <c r="H1145"/>
  <c r="A1146"/>
  <c r="C1146"/>
  <c r="H1146"/>
  <c r="A1147"/>
  <c r="C1147"/>
  <c r="H1147"/>
  <c r="A1148"/>
  <c r="C1148"/>
  <c r="H1148"/>
  <c r="A1149"/>
  <c r="C1149"/>
  <c r="H1149"/>
  <c r="A1150"/>
  <c r="C1150"/>
  <c r="H1150"/>
  <c r="A1151"/>
  <c r="C1151"/>
  <c r="H1151"/>
  <c r="A1152"/>
  <c r="C1152"/>
  <c r="H1152"/>
  <c r="A1153"/>
  <c r="C1153"/>
  <c r="H1153"/>
  <c r="A1154"/>
  <c r="C1154"/>
  <c r="H1154"/>
  <c r="A1155"/>
  <c r="C1155"/>
  <c r="H1155"/>
  <c r="A1156"/>
  <c r="C1156"/>
  <c r="H1156"/>
  <c r="A1157"/>
  <c r="C1157"/>
  <c r="H1157"/>
  <c r="A1158"/>
  <c r="C1158"/>
  <c r="H1158"/>
  <c r="A1159"/>
  <c r="C1159"/>
  <c r="H1159"/>
  <c r="A1160"/>
  <c r="C1160"/>
  <c r="H1160"/>
  <c r="A1161"/>
  <c r="C1161"/>
  <c r="H1161"/>
  <c r="A1162"/>
  <c r="C1162"/>
  <c r="H1162"/>
  <c r="A1163"/>
  <c r="C1163"/>
  <c r="H1163"/>
  <c r="A1164"/>
  <c r="C1164"/>
  <c r="H1164"/>
  <c r="A1165"/>
  <c r="C1165"/>
  <c r="H1165"/>
  <c r="A1166"/>
  <c r="C1166"/>
  <c r="H1166"/>
  <c r="A1167"/>
  <c r="C1167"/>
  <c r="H1167"/>
  <c r="A1168"/>
  <c r="C1168"/>
  <c r="H1168"/>
  <c r="A1169"/>
  <c r="C1169"/>
  <c r="H1169"/>
  <c r="A1170"/>
  <c r="C1170"/>
  <c r="H1170"/>
  <c r="A1171"/>
  <c r="C1171"/>
  <c r="H1171"/>
  <c r="A1172"/>
  <c r="C1172"/>
  <c r="H1172"/>
  <c r="A1173"/>
  <c r="C1173"/>
  <c r="H1173"/>
  <c r="A1174"/>
  <c r="C1174"/>
  <c r="H1174"/>
  <c r="A1175"/>
  <c r="C1175"/>
  <c r="H1175"/>
  <c r="A1176"/>
  <c r="C1176"/>
  <c r="H1176"/>
  <c r="A1177"/>
  <c r="C1177"/>
  <c r="H1177"/>
  <c r="A1178"/>
  <c r="C1178"/>
  <c r="H1178"/>
  <c r="A1179"/>
  <c r="C1179"/>
  <c r="H1179"/>
  <c r="A1180"/>
  <c r="C1180"/>
  <c r="H1180"/>
  <c r="A1181"/>
  <c r="C1181"/>
  <c r="H1181"/>
  <c r="A1182"/>
  <c r="C1182"/>
  <c r="H1182"/>
  <c r="A1183"/>
  <c r="C1183"/>
  <c r="H1183"/>
  <c r="A1184"/>
  <c r="C1184"/>
  <c r="H1184"/>
  <c r="A1185"/>
  <c r="C1185"/>
  <c r="H1185"/>
  <c r="A1186"/>
  <c r="C1186"/>
  <c r="G1186"/>
  <c r="H1186"/>
  <c r="A1187"/>
  <c r="C1187"/>
  <c r="H1187"/>
  <c r="A1188"/>
  <c r="C1188"/>
  <c r="H1188"/>
  <c r="A1189"/>
  <c r="C1189"/>
  <c r="H1189"/>
  <c r="A1190"/>
  <c r="C1190"/>
  <c r="H1190"/>
  <c r="A1191"/>
  <c r="C1191"/>
  <c r="H1191"/>
  <c r="A1192"/>
  <c r="C1192"/>
  <c r="H1192"/>
  <c r="A1193"/>
  <c r="C1193"/>
  <c r="H1193"/>
  <c r="A1194"/>
  <c r="C1194"/>
  <c r="H1194"/>
  <c r="A1195"/>
  <c r="C1195"/>
  <c r="H1195"/>
  <c r="A1196"/>
  <c r="C1196"/>
  <c r="H1196"/>
  <c r="A1197"/>
  <c r="C1197"/>
  <c r="H1197"/>
  <c r="A1198"/>
  <c r="C1198"/>
  <c r="H1198"/>
  <c r="A1199"/>
  <c r="C1199"/>
  <c r="H1199"/>
  <c r="A1200"/>
  <c r="C1200"/>
  <c r="H1200"/>
  <c r="A1201"/>
  <c r="C1201"/>
  <c r="H1201"/>
  <c r="A1202"/>
  <c r="C1202"/>
  <c r="H1202"/>
  <c r="A1203"/>
  <c r="C1203"/>
  <c r="H1203"/>
  <c r="A1204"/>
  <c r="C1204"/>
  <c r="H1204"/>
  <c r="A1205"/>
  <c r="C1205"/>
  <c r="H1205"/>
  <c r="A1206"/>
  <c r="C1206"/>
  <c r="H1206"/>
  <c r="A1207"/>
  <c r="C1207"/>
  <c r="H1207"/>
  <c r="A1208"/>
  <c r="C1208"/>
  <c r="H1208"/>
  <c r="A1209"/>
  <c r="C1209"/>
  <c r="H1209"/>
  <c r="A1210"/>
  <c r="C1210"/>
  <c r="H1210"/>
  <c r="A1211"/>
  <c r="C1211"/>
  <c r="H1211"/>
  <c r="A1212"/>
  <c r="C1212"/>
  <c r="H1212"/>
  <c r="A1213"/>
  <c r="C1213"/>
  <c r="H1213"/>
  <c r="A1214"/>
  <c r="C1214"/>
  <c r="H1214"/>
  <c r="A1215"/>
  <c r="C1215"/>
  <c r="H1215"/>
  <c r="A1216"/>
  <c r="C1216"/>
  <c r="H1216"/>
  <c r="A1217"/>
  <c r="C1217"/>
  <c r="H1217"/>
  <c r="A1218"/>
  <c r="C1218"/>
  <c r="H1218"/>
  <c r="A1219"/>
  <c r="C1219"/>
  <c r="H1219"/>
  <c r="A1220"/>
  <c r="C1220"/>
  <c r="H1220"/>
  <c r="A1221"/>
  <c r="C1221"/>
  <c r="H1221"/>
  <c r="A1222"/>
  <c r="C1222"/>
  <c r="H1222"/>
  <c r="A1223"/>
  <c r="C1223"/>
  <c r="H1223"/>
  <c r="A1224"/>
  <c r="C1224"/>
  <c r="H1224"/>
  <c r="A1225"/>
  <c r="C1225"/>
  <c r="H1225"/>
  <c r="A1226"/>
  <c r="C1226"/>
  <c r="H1226"/>
  <c r="A1227"/>
  <c r="C1227"/>
  <c r="H1227"/>
  <c r="A1228"/>
  <c r="C1228"/>
  <c r="H1228"/>
  <c r="A1229"/>
  <c r="C1229"/>
  <c r="H1229"/>
  <c r="A1230"/>
  <c r="C1230"/>
  <c r="H1230"/>
  <c r="A1231"/>
  <c r="C1231"/>
  <c r="H1231"/>
  <c r="A1232"/>
  <c r="C1232"/>
  <c r="H1232"/>
  <c r="A1233"/>
  <c r="C1233"/>
  <c r="H1233"/>
  <c r="A1234"/>
  <c r="C1234"/>
  <c r="H1234"/>
  <c r="A1235"/>
  <c r="C1235"/>
  <c r="H1235"/>
  <c r="A1236"/>
  <c r="C1236"/>
  <c r="E1236"/>
  <c r="H1236"/>
  <c r="A1237"/>
  <c r="C1237"/>
  <c r="H1237"/>
  <c r="A1238"/>
  <c r="C1238"/>
  <c r="H1238"/>
  <c r="A1239"/>
  <c r="C1239"/>
  <c r="H1239"/>
  <c r="A1240"/>
  <c r="C1240"/>
  <c r="H1240"/>
  <c r="A1241"/>
  <c r="C1241"/>
  <c r="H1241"/>
  <c r="A1242"/>
  <c r="C1242"/>
  <c r="H1242"/>
  <c r="A1243"/>
  <c r="C1243"/>
  <c r="H1243"/>
  <c r="A1244"/>
  <c r="C1244"/>
  <c r="H1244"/>
  <c r="A1245"/>
  <c r="C1245"/>
  <c r="H1245"/>
  <c r="A1246"/>
  <c r="C1246"/>
  <c r="H1246"/>
  <c r="A1247"/>
  <c r="C1247"/>
  <c r="H1247"/>
  <c r="A1248"/>
  <c r="C1248"/>
  <c r="H1248"/>
  <c r="A1249"/>
  <c r="C1249"/>
  <c r="H1249"/>
  <c r="A1250"/>
  <c r="C1250"/>
  <c r="H1250"/>
  <c r="A1251"/>
  <c r="C1251"/>
  <c r="H1251"/>
  <c r="A1252"/>
  <c r="C1252"/>
  <c r="H1252"/>
  <c r="A1253"/>
  <c r="C1253"/>
  <c r="H1253"/>
  <c r="A1254"/>
  <c r="C1254"/>
  <c r="H1254"/>
  <c r="A1255"/>
  <c r="C1255"/>
  <c r="H1255"/>
  <c r="A1256"/>
  <c r="C1256"/>
  <c r="H1256"/>
  <c r="A1257"/>
  <c r="C1257"/>
  <c r="H1257"/>
  <c r="A1258"/>
  <c r="C1258"/>
  <c r="H1258"/>
  <c r="A1259"/>
  <c r="C1259"/>
  <c r="H1259"/>
  <c r="A1260"/>
  <c r="C1260"/>
  <c r="H1260"/>
  <c r="A1261"/>
  <c r="C1261"/>
  <c r="H1261"/>
  <c r="A1262"/>
  <c r="C1262"/>
  <c r="H1262"/>
  <c r="A1263"/>
  <c r="C1263"/>
  <c r="H1263"/>
  <c r="A1264"/>
  <c r="C1264"/>
  <c r="H1264"/>
  <c r="A1265"/>
  <c r="C1265"/>
  <c r="H1265"/>
  <c r="A1266"/>
  <c r="C1266"/>
  <c r="H1266"/>
  <c r="A1267"/>
  <c r="C1267"/>
  <c r="H1267"/>
  <c r="A1268"/>
  <c r="C1268"/>
  <c r="H1268"/>
  <c r="A1269"/>
  <c r="C1269"/>
  <c r="H1269"/>
  <c r="A1270"/>
  <c r="C1270"/>
  <c r="H1270"/>
  <c r="A1271"/>
  <c r="C1271"/>
  <c r="H1271"/>
  <c r="A1272"/>
  <c r="C1272"/>
  <c r="H1272"/>
  <c r="A1273"/>
  <c r="C1273"/>
  <c r="H1273"/>
  <c r="A1274"/>
  <c r="C1274"/>
  <c r="H1274"/>
  <c r="A1275"/>
  <c r="C1275"/>
  <c r="H1275"/>
  <c r="A1276"/>
  <c r="C1276"/>
  <c r="H1276"/>
  <c r="A1277"/>
  <c r="C1277"/>
  <c r="H1277"/>
  <c r="A1278"/>
  <c r="C1278"/>
  <c r="H1278"/>
  <c r="A1279"/>
  <c r="C1279"/>
  <c r="H1279"/>
  <c r="A1280"/>
  <c r="C1280"/>
  <c r="H1280"/>
  <c r="A1281"/>
  <c r="C1281"/>
  <c r="H1281"/>
  <c r="A1282"/>
  <c r="C1282"/>
  <c r="H1282"/>
  <c r="A1283"/>
  <c r="C1283"/>
  <c r="H1283"/>
  <c r="A1284"/>
  <c r="C1284"/>
  <c r="H1284"/>
  <c r="A1285"/>
  <c r="C1285"/>
  <c r="H1285"/>
  <c r="A1286"/>
  <c r="C1286"/>
  <c r="H1286"/>
  <c r="A1287"/>
  <c r="C1287"/>
  <c r="H1287"/>
  <c r="A1288"/>
  <c r="C1288"/>
  <c r="H1288"/>
  <c r="A1289"/>
  <c r="C1289"/>
  <c r="H1289"/>
  <c r="A1290"/>
  <c r="C1290"/>
  <c r="H1290"/>
  <c r="A1291"/>
  <c r="C1291"/>
  <c r="H1291"/>
  <c r="A1292"/>
  <c r="C1292"/>
  <c r="H1292"/>
  <c r="A1293"/>
  <c r="C1293"/>
  <c r="H1293"/>
  <c r="A1294"/>
  <c r="C1294"/>
  <c r="H1294"/>
  <c r="A1295"/>
  <c r="C1295"/>
  <c r="H1295"/>
  <c r="A1296"/>
  <c r="C1296"/>
  <c r="H1296"/>
  <c r="A1297"/>
  <c r="C1297"/>
  <c r="H1297"/>
  <c r="A1298"/>
  <c r="C1298"/>
  <c r="H1298"/>
  <c r="A1299"/>
  <c r="C1299"/>
  <c r="H1299"/>
  <c r="A1300"/>
  <c r="C1300"/>
  <c r="H1300"/>
  <c r="A1301"/>
  <c r="C1301"/>
  <c r="H1301"/>
  <c r="A1302"/>
  <c r="C1302"/>
  <c r="H1302"/>
  <c r="A1303"/>
  <c r="C1303"/>
  <c r="H1303"/>
  <c r="A1304"/>
  <c r="C1304"/>
  <c r="H1304"/>
  <c r="A1305"/>
  <c r="C1305"/>
  <c r="H1305"/>
  <c r="A1306"/>
  <c r="C1306"/>
  <c r="H1306"/>
  <c r="A1307"/>
  <c r="C1307"/>
  <c r="H1307"/>
  <c r="A1308"/>
  <c r="C1308"/>
  <c r="H1308"/>
  <c r="A1309"/>
  <c r="C1309"/>
  <c r="H1309"/>
  <c r="A1310"/>
  <c r="C1310"/>
  <c r="H1310"/>
  <c r="A1311"/>
  <c r="C1311"/>
  <c r="H1311"/>
  <c r="A1312"/>
  <c r="C1312"/>
  <c r="H1312"/>
  <c r="A1313"/>
  <c r="C1313"/>
  <c r="H1313"/>
  <c r="A1314"/>
  <c r="C1314"/>
  <c r="H1314"/>
  <c r="A1315"/>
  <c r="C1315"/>
  <c r="H1315"/>
  <c r="A1316"/>
  <c r="C1316"/>
  <c r="H1316"/>
  <c r="A1317"/>
  <c r="C1317"/>
  <c r="H1317"/>
  <c r="A1318"/>
  <c r="C1318"/>
  <c r="H1318"/>
  <c r="A1319"/>
  <c r="C1319"/>
  <c r="H1319"/>
  <c r="A1320"/>
  <c r="C1320"/>
  <c r="H1320"/>
  <c r="A1321"/>
  <c r="C1321"/>
  <c r="H1321"/>
  <c r="A1322"/>
  <c r="C1322"/>
  <c r="H1322"/>
  <c r="A1323"/>
  <c r="C1323"/>
  <c r="H1323"/>
  <c r="A1324"/>
  <c r="C1324"/>
  <c r="H1324"/>
  <c r="A1325"/>
  <c r="C1325"/>
  <c r="H1325"/>
  <c r="A1326"/>
  <c r="C1326"/>
  <c r="H1326"/>
  <c r="A1327"/>
  <c r="C1327"/>
  <c r="H1327"/>
  <c r="A1328"/>
  <c r="C1328"/>
  <c r="H1328"/>
  <c r="A1329"/>
  <c r="C1329"/>
  <c r="H1329"/>
  <c r="A1330"/>
  <c r="C1330"/>
  <c r="H1330"/>
  <c r="A1331"/>
  <c r="C1331"/>
  <c r="H1331"/>
  <c r="A1332"/>
  <c r="C1332"/>
  <c r="H1332"/>
  <c r="A1333"/>
  <c r="C1333"/>
  <c r="H1333"/>
  <c r="A1334"/>
  <c r="C1334"/>
  <c r="H1334"/>
  <c r="A1335"/>
  <c r="C1335"/>
  <c r="H1335"/>
  <c r="A1336"/>
  <c r="C1336"/>
  <c r="H1336"/>
  <c r="A1337"/>
  <c r="C1337"/>
  <c r="H1337"/>
  <c r="A1338"/>
  <c r="C1338"/>
  <c r="H1338"/>
  <c r="A1339"/>
  <c r="C1339"/>
  <c r="H1339"/>
  <c r="A1340"/>
  <c r="C1340"/>
  <c r="H1340"/>
  <c r="A1341"/>
  <c r="C1341"/>
  <c r="H1341"/>
  <c r="A1342"/>
  <c r="C1342"/>
  <c r="H1342"/>
  <c r="A1343"/>
  <c r="C1343"/>
  <c r="H1343"/>
  <c r="A1344"/>
  <c r="C1344"/>
  <c r="G1344"/>
  <c r="H1344"/>
  <c r="A1345"/>
  <c r="C1345"/>
  <c r="H1345"/>
  <c r="A1346"/>
  <c r="C1346"/>
  <c r="H1346"/>
  <c r="A1347"/>
  <c r="C1347"/>
  <c r="H1347"/>
  <c r="A1348"/>
  <c r="C1348"/>
  <c r="H1348"/>
  <c r="A1349"/>
  <c r="C1349"/>
  <c r="H1349"/>
  <c r="A1350"/>
  <c r="C1350"/>
  <c r="H1350"/>
  <c r="A1351"/>
  <c r="C1351"/>
  <c r="H1351"/>
  <c r="A1352"/>
  <c r="C1352"/>
  <c r="H1352"/>
  <c r="A1353"/>
  <c r="C1353"/>
  <c r="H1353"/>
  <c r="A1354"/>
  <c r="C1354"/>
  <c r="H1354"/>
  <c r="A1355"/>
  <c r="C1355"/>
  <c r="H1355"/>
  <c r="A1356"/>
  <c r="C1356"/>
  <c r="H1356"/>
  <c r="A1357"/>
  <c r="C1357"/>
  <c r="H1357"/>
  <c r="A1358"/>
  <c r="C1358"/>
  <c r="H1358"/>
  <c r="A1359"/>
  <c r="C1359"/>
  <c r="H1359"/>
  <c r="A1360"/>
  <c r="C1360"/>
  <c r="H1360"/>
  <c r="A1361"/>
  <c r="C1361"/>
  <c r="H1361"/>
  <c r="A1362"/>
  <c r="C1362"/>
  <c r="H1362"/>
  <c r="A1363"/>
  <c r="C1363"/>
  <c r="H1363"/>
  <c r="A1364"/>
  <c r="C1364"/>
  <c r="H1364"/>
  <c r="A1365"/>
  <c r="C1365"/>
  <c r="H1365"/>
  <c r="A1366"/>
  <c r="C1366"/>
  <c r="H1366"/>
  <c r="A1367"/>
  <c r="C1367"/>
  <c r="H1367"/>
  <c r="A1368"/>
  <c r="C1368"/>
  <c r="H1368"/>
  <c r="A1369"/>
  <c r="C1369"/>
  <c r="H1369"/>
  <c r="A1370"/>
  <c r="C1370"/>
  <c r="H1370"/>
  <c r="A1371"/>
  <c r="C1371"/>
  <c r="H1371"/>
  <c r="A1372"/>
  <c r="C1372"/>
  <c r="H1372"/>
  <c r="A1373"/>
  <c r="C1373"/>
  <c r="H1373"/>
  <c r="A1374"/>
  <c r="C1374"/>
  <c r="H1374"/>
  <c r="A1375"/>
  <c r="C1375"/>
  <c r="H1375"/>
  <c r="A1376"/>
  <c r="C1376"/>
  <c r="H1376"/>
  <c r="A1377"/>
  <c r="C1377"/>
  <c r="H1377"/>
  <c r="A1378"/>
  <c r="C1378"/>
  <c r="H1378"/>
  <c r="A1379"/>
  <c r="C1379"/>
  <c r="H1379"/>
  <c r="A1380"/>
  <c r="C1380"/>
  <c r="H1380"/>
  <c r="A1381"/>
  <c r="C1381"/>
  <c r="H1381"/>
  <c r="A1382"/>
  <c r="C1382"/>
  <c r="H1382"/>
  <c r="A1383"/>
  <c r="C1383"/>
  <c r="H1383"/>
  <c r="A1384"/>
  <c r="C1384"/>
  <c r="H1384"/>
  <c r="A1385"/>
  <c r="C1385"/>
  <c r="H1385"/>
  <c r="A1386"/>
  <c r="C1386"/>
  <c r="H1386"/>
  <c r="A1387"/>
  <c r="C1387"/>
  <c r="H1387"/>
  <c r="A1388"/>
  <c r="C1388"/>
  <c r="H1388"/>
  <c r="A1389"/>
  <c r="C1389"/>
  <c r="H1389"/>
  <c r="A1390"/>
  <c r="C1390"/>
  <c r="H1390"/>
  <c r="A1391"/>
  <c r="C1391"/>
  <c r="H1391"/>
  <c r="A1392"/>
  <c r="C1392"/>
  <c r="H1392"/>
  <c r="A1393"/>
  <c r="C1393"/>
  <c r="H1393"/>
  <c r="A1394"/>
  <c r="C1394"/>
  <c r="H1394"/>
  <c r="A1395"/>
  <c r="C1395"/>
  <c r="H1395"/>
  <c r="A1396"/>
  <c r="C1396"/>
  <c r="H1396"/>
  <c r="A1397"/>
  <c r="C1397"/>
  <c r="H1397"/>
  <c r="A1398"/>
  <c r="C1398"/>
  <c r="H1398"/>
  <c r="A1399"/>
  <c r="C1399"/>
  <c r="E1399"/>
  <c r="H1399"/>
  <c r="A1400"/>
  <c r="C1400"/>
  <c r="H1400"/>
  <c r="A1401"/>
  <c r="C1401"/>
  <c r="H1401"/>
  <c r="A1402"/>
  <c r="C1402"/>
  <c r="E1402"/>
  <c r="H1402"/>
  <c r="A1403"/>
  <c r="C1403"/>
  <c r="E1403"/>
  <c r="H1403"/>
  <c r="A1404"/>
  <c r="C1404"/>
  <c r="H1404"/>
  <c r="A1405"/>
  <c r="C1405"/>
  <c r="H1405"/>
  <c r="A1406"/>
  <c r="C1406"/>
  <c r="H1406"/>
  <c r="A1407"/>
  <c r="C1407"/>
  <c r="H1407"/>
  <c r="A1408"/>
  <c r="C1408"/>
  <c r="H1408"/>
  <c r="A1409"/>
  <c r="C1409"/>
  <c r="H1409"/>
  <c r="A1410"/>
  <c r="C1410"/>
  <c r="H1410"/>
  <c r="A1411"/>
  <c r="C1411"/>
  <c r="H1411"/>
  <c r="A1412"/>
  <c r="C1412"/>
  <c r="H1412"/>
  <c r="A1413"/>
  <c r="C1413"/>
  <c r="H1413"/>
  <c r="A1414"/>
  <c r="C1414"/>
  <c r="H1414"/>
  <c r="A1415"/>
  <c r="C1415"/>
  <c r="H1415"/>
  <c r="A1416"/>
  <c r="C1416"/>
  <c r="H1416"/>
  <c r="A1417"/>
  <c r="C1417"/>
  <c r="H1417"/>
  <c r="A1418"/>
  <c r="C1418"/>
  <c r="H1418"/>
  <c r="A1419"/>
  <c r="C1419"/>
  <c r="H1419"/>
  <c r="A1420"/>
  <c r="C1420"/>
  <c r="H1420"/>
  <c r="A1421"/>
  <c r="C1421"/>
  <c r="H1421"/>
  <c r="A1422"/>
  <c r="C1422"/>
  <c r="H1422"/>
  <c r="A1423"/>
  <c r="C1423"/>
  <c r="H1423"/>
  <c r="A1424"/>
  <c r="C1424"/>
  <c r="H1424"/>
  <c r="A1425"/>
  <c r="C1425"/>
  <c r="H1425"/>
  <c r="A1426"/>
  <c r="C1426"/>
  <c r="H1426"/>
  <c r="A1427"/>
  <c r="C1427"/>
  <c r="H1427"/>
  <c r="A1428"/>
  <c r="C1428"/>
  <c r="H1428"/>
  <c r="A1429"/>
  <c r="C1429"/>
  <c r="H1429"/>
  <c r="A1430"/>
  <c r="C1430"/>
  <c r="H1430"/>
  <c r="A1431"/>
  <c r="C1431"/>
  <c r="H1431"/>
  <c r="A1432"/>
  <c r="C1432"/>
  <c r="H1432"/>
  <c r="A1433"/>
  <c r="C1433"/>
  <c r="H1433"/>
  <c r="A1434"/>
  <c r="C1434"/>
  <c r="H1434"/>
  <c r="A1435"/>
  <c r="C1435"/>
  <c r="H1435"/>
  <c r="A1436"/>
  <c r="C1436"/>
  <c r="H1436"/>
  <c r="A1437"/>
  <c r="C1437"/>
  <c r="H1437"/>
  <c r="A1438"/>
  <c r="C1438"/>
  <c r="H1438"/>
  <c r="A1439"/>
  <c r="C1439"/>
  <c r="H1439"/>
  <c r="A1440"/>
  <c r="C1440"/>
  <c r="H1440"/>
  <c r="A1441"/>
  <c r="C1441"/>
  <c r="H1441"/>
  <c r="A1442"/>
  <c r="C1442"/>
  <c r="H1442"/>
  <c r="A1443"/>
  <c r="C1443"/>
  <c r="H1443"/>
  <c r="A1444"/>
  <c r="C1444"/>
  <c r="H1444"/>
  <c r="A1445"/>
  <c r="C1445"/>
  <c r="H1445"/>
  <c r="A1446"/>
  <c r="C1446"/>
  <c r="H1446"/>
  <c r="A1447"/>
  <c r="C1447"/>
  <c r="H1447"/>
  <c r="A1448"/>
  <c r="C1448"/>
  <c r="H1448"/>
  <c r="A1449"/>
  <c r="C1449"/>
  <c r="H1449"/>
  <c r="A1450"/>
  <c r="C1450"/>
  <c r="H1450"/>
  <c r="A1451"/>
  <c r="C1451"/>
  <c r="H1451"/>
  <c r="A1452"/>
  <c r="C1452"/>
  <c r="H1452"/>
  <c r="A1453"/>
  <c r="C1453"/>
  <c r="H1453"/>
  <c r="A1454"/>
  <c r="C1454"/>
  <c r="H1454"/>
  <c r="A1455"/>
  <c r="C1455"/>
  <c r="H1455"/>
  <c r="A1456"/>
  <c r="C1456"/>
  <c r="H1456"/>
  <c r="A1457"/>
  <c r="C1457"/>
  <c r="H1457"/>
  <c r="A1458"/>
  <c r="C1458"/>
  <c r="H1458"/>
  <c r="A1459"/>
  <c r="C1459"/>
  <c r="H1459"/>
  <c r="A1460"/>
  <c r="C1460"/>
  <c r="H1460"/>
  <c r="A1461"/>
  <c r="C1461"/>
  <c r="H1461"/>
  <c r="A1462"/>
  <c r="C1462"/>
  <c r="H1462"/>
  <c r="A1463"/>
  <c r="C1463"/>
  <c r="H1463"/>
  <c r="A1464"/>
  <c r="C1464"/>
  <c r="H1464"/>
  <c r="A1465"/>
  <c r="C1465"/>
  <c r="H1465"/>
  <c r="A1466"/>
  <c r="C1466"/>
  <c r="H1466"/>
  <c r="A1467"/>
  <c r="C1467"/>
  <c r="H1467"/>
  <c r="A1468"/>
  <c r="C1468"/>
  <c r="H1468"/>
  <c r="A1469"/>
  <c r="C1469"/>
  <c r="H1469"/>
  <c r="A1470"/>
  <c r="C1470"/>
  <c r="H1470"/>
  <c r="A1471"/>
  <c r="C1471"/>
  <c r="H1471"/>
  <c r="A1472"/>
  <c r="C1472"/>
  <c r="H1472"/>
  <c r="A1473"/>
  <c r="C1473"/>
  <c r="H1473"/>
  <c r="A1474"/>
  <c r="C1474"/>
  <c r="H1474"/>
  <c r="A1475"/>
  <c r="C1475"/>
  <c r="H1475"/>
  <c r="A1476"/>
  <c r="C1476"/>
  <c r="H1476"/>
  <c r="A1477"/>
  <c r="C1477"/>
  <c r="H1477"/>
  <c r="A1478"/>
  <c r="C1478"/>
  <c r="H1478"/>
  <c r="A1479"/>
  <c r="C1479"/>
  <c r="H1479"/>
  <c r="A1480"/>
  <c r="C1480"/>
  <c r="H1480"/>
  <c r="A1481"/>
  <c r="C1481"/>
  <c r="H1481"/>
  <c r="A1482"/>
  <c r="C1482"/>
  <c r="H1482"/>
  <c r="A1483"/>
  <c r="C1483"/>
  <c r="H1483"/>
  <c r="A1484"/>
  <c r="C1484"/>
  <c r="H1484"/>
  <c r="A1485"/>
  <c r="C1485"/>
  <c r="H1485"/>
  <c r="A1486"/>
  <c r="C1486"/>
  <c r="H1486"/>
  <c r="A1487"/>
  <c r="C1487"/>
  <c r="H1487"/>
  <c r="A1488"/>
  <c r="C1488"/>
  <c r="H1488"/>
  <c r="A1489"/>
  <c r="C1489"/>
  <c r="H1489"/>
  <c r="A1490"/>
  <c r="C1490"/>
  <c r="H1490"/>
  <c r="A1491"/>
  <c r="C1491"/>
  <c r="H1491"/>
  <c r="A1492"/>
  <c r="C1492"/>
  <c r="H1492"/>
  <c r="A1493"/>
  <c r="C1493"/>
  <c r="H1493"/>
  <c r="A1494"/>
  <c r="C1494"/>
  <c r="H1494"/>
  <c r="A1495"/>
  <c r="C1495"/>
  <c r="H1495"/>
  <c r="A1496"/>
  <c r="C1496"/>
  <c r="H1496"/>
  <c r="A1497"/>
  <c r="C1497"/>
  <c r="H1497"/>
  <c r="A1498"/>
  <c r="C1498"/>
  <c r="H1498"/>
  <c r="A1499"/>
  <c r="C1499"/>
  <c r="H1499"/>
  <c r="A1500"/>
  <c r="C1500"/>
  <c r="H1500"/>
  <c r="A1501"/>
  <c r="C1501"/>
  <c r="H1501"/>
  <c r="A1502"/>
  <c r="C1502"/>
  <c r="H1502"/>
  <c r="A1503"/>
  <c r="C1503"/>
  <c r="H1503"/>
  <c r="A1504"/>
  <c r="C1504"/>
  <c r="E1504"/>
  <c r="H1504"/>
  <c r="A1505"/>
  <c r="C1505"/>
  <c r="E1505"/>
  <c r="H1505"/>
  <c r="A1506"/>
  <c r="C1506"/>
  <c r="H1506"/>
  <c r="A1507"/>
  <c r="C1507"/>
  <c r="H1507"/>
  <c r="A1508"/>
  <c r="C1508"/>
  <c r="H1508"/>
  <c r="A1509"/>
  <c r="C1509"/>
  <c r="H1509"/>
  <c r="A1510"/>
  <c r="C1510"/>
  <c r="H1510"/>
  <c r="A1511"/>
  <c r="C1511"/>
  <c r="H1511"/>
  <c r="A1512"/>
  <c r="C1512"/>
  <c r="H1512"/>
  <c r="A1513"/>
  <c r="C1513"/>
  <c r="H1513"/>
  <c r="A1514"/>
  <c r="C1514"/>
  <c r="H1514"/>
  <c r="A1515"/>
  <c r="C1515"/>
  <c r="H1515"/>
  <c r="A1516"/>
  <c r="C1516"/>
  <c r="H1516"/>
  <c r="A1517"/>
  <c r="C1517"/>
  <c r="H1517"/>
  <c r="A1518"/>
  <c r="C1518"/>
  <c r="H1518"/>
  <c r="A1519"/>
  <c r="C1519"/>
  <c r="H1519"/>
  <c r="A1520"/>
  <c r="C1520"/>
  <c r="H1520"/>
  <c r="A1521"/>
  <c r="C1521"/>
  <c r="H1521"/>
  <c r="A1522"/>
  <c r="C1522"/>
  <c r="H1522"/>
  <c r="A1523"/>
  <c r="C1523"/>
  <c r="H1523"/>
  <c r="A1524"/>
  <c r="C1524"/>
  <c r="H1524"/>
  <c r="A1525"/>
  <c r="C1525"/>
  <c r="H1525"/>
  <c r="A1526"/>
  <c r="C1526"/>
  <c r="H1526"/>
  <c r="A1527"/>
  <c r="C1527"/>
  <c r="H1527"/>
  <c r="A1528"/>
  <c r="C1528"/>
  <c r="H1528"/>
  <c r="A1529"/>
  <c r="C1529"/>
  <c r="H1529"/>
  <c r="A1530"/>
  <c r="C1530"/>
  <c r="H1530"/>
  <c r="A1531"/>
  <c r="C1531"/>
  <c r="H1531"/>
  <c r="A1532"/>
  <c r="C1532"/>
  <c r="H1532"/>
  <c r="A1533"/>
  <c r="C1533"/>
  <c r="H1533"/>
  <c r="A1534"/>
  <c r="C1534"/>
  <c r="H1534"/>
  <c r="A1535"/>
  <c r="C1535"/>
  <c r="H1535"/>
  <c r="A1536"/>
  <c r="C1536"/>
  <c r="H1536"/>
  <c r="A1537"/>
  <c r="C1537"/>
  <c r="E1537"/>
  <c r="H1537"/>
  <c r="A1538"/>
  <c r="C1538"/>
  <c r="E1538"/>
  <c r="H1538"/>
  <c r="A1539"/>
  <c r="C1539"/>
  <c r="E1539"/>
  <c r="H1539"/>
  <c r="A1540"/>
  <c r="C1540"/>
  <c r="H1540"/>
  <c r="A1541"/>
  <c r="C1541"/>
  <c r="H1541"/>
  <c r="A1542"/>
  <c r="C1542"/>
  <c r="H1542"/>
  <c r="A1543"/>
  <c r="C1543"/>
  <c r="H1543"/>
  <c r="A1544"/>
  <c r="C1544"/>
  <c r="H1544"/>
  <c r="A1545"/>
  <c r="C1545"/>
  <c r="H1545"/>
  <c r="A1546"/>
  <c r="C1546"/>
  <c r="H1546"/>
  <c r="A1547"/>
  <c r="C1547"/>
  <c r="H1547"/>
  <c r="A1548"/>
  <c r="C1548"/>
  <c r="H1548"/>
  <c r="A1549"/>
  <c r="C1549"/>
  <c r="H1549"/>
  <c r="A1550"/>
  <c r="C1550"/>
  <c r="H1550"/>
  <c r="A1551"/>
  <c r="C1551"/>
  <c r="H1551"/>
  <c r="A1552"/>
  <c r="C1552"/>
  <c r="H1552"/>
  <c r="A1553"/>
  <c r="C1553"/>
  <c r="H1553"/>
  <c r="A1554"/>
  <c r="C1554"/>
  <c r="H1554"/>
  <c r="A1555"/>
  <c r="C1555"/>
  <c r="H1555"/>
  <c r="A1556"/>
  <c r="C1556"/>
  <c r="H1556"/>
  <c r="A1557"/>
  <c r="C1557"/>
  <c r="H1557"/>
  <c r="A1558"/>
  <c r="C1558"/>
  <c r="H1558"/>
  <c r="A1559"/>
  <c r="C1559"/>
  <c r="H1559"/>
  <c r="A1560"/>
  <c r="C1560"/>
  <c r="H1560"/>
  <c r="A1561"/>
  <c r="C1561"/>
  <c r="H1561"/>
  <c r="A1562"/>
  <c r="C1562"/>
  <c r="H1562"/>
  <c r="A1563"/>
  <c r="C1563"/>
  <c r="H1563"/>
  <c r="A1564"/>
  <c r="C1564"/>
  <c r="H1564"/>
  <c r="A1565"/>
  <c r="C1565"/>
  <c r="H1565"/>
  <c r="A1566"/>
  <c r="C1566"/>
  <c r="H1566"/>
  <c r="A1567"/>
  <c r="C1567"/>
  <c r="H1567"/>
  <c r="A1568"/>
  <c r="C1568"/>
  <c r="H1568"/>
  <c r="A1569"/>
  <c r="C1569"/>
  <c r="H1569"/>
  <c r="A1570"/>
  <c r="C1570"/>
  <c r="H1570"/>
  <c r="A1571"/>
  <c r="C1571"/>
  <c r="H1571"/>
  <c r="A1572"/>
  <c r="C1572"/>
  <c r="H1572"/>
  <c r="A1573"/>
  <c r="C1573"/>
  <c r="H1573"/>
  <c r="A1574"/>
  <c r="C1574"/>
  <c r="H1574"/>
  <c r="A1575"/>
  <c r="C1575"/>
  <c r="H1575"/>
  <c r="A1576"/>
  <c r="C1576"/>
  <c r="H1576"/>
  <c r="A1577"/>
  <c r="C1577"/>
  <c r="H1577"/>
  <c r="A1578"/>
  <c r="C1578"/>
  <c r="H1578"/>
  <c r="A1579"/>
  <c r="C1579"/>
  <c r="H1579"/>
  <c r="A1580"/>
  <c r="C1580"/>
  <c r="H1580"/>
  <c r="A1581"/>
  <c r="C1581"/>
  <c r="H1581"/>
  <c r="A1582"/>
  <c r="C1582"/>
  <c r="H1582"/>
  <c r="A1583"/>
  <c r="C1583"/>
  <c r="H1583"/>
  <c r="A1584"/>
  <c r="C1584"/>
  <c r="H1584"/>
  <c r="A1585"/>
  <c r="C1585"/>
  <c r="H1585"/>
  <c r="A1586"/>
  <c r="C1586"/>
  <c r="H1586"/>
  <c r="A1587"/>
  <c r="C1587"/>
  <c r="H1587"/>
  <c r="A1588"/>
  <c r="C1588"/>
  <c r="H1588"/>
  <c r="A1589"/>
  <c r="C1589"/>
  <c r="H1589"/>
  <c r="A1590"/>
  <c r="C1590"/>
  <c r="H1590"/>
  <c r="A1591"/>
  <c r="C1591"/>
  <c r="H1591"/>
  <c r="A1592"/>
  <c r="C1592"/>
  <c r="H1592"/>
  <c r="A1593"/>
  <c r="C1593"/>
  <c r="H1593"/>
  <c r="A1594"/>
  <c r="C1594"/>
  <c r="H1594"/>
  <c r="A1595"/>
  <c r="C1595"/>
  <c r="H1595"/>
  <c r="A1596"/>
  <c r="C1596"/>
  <c r="H1596"/>
  <c r="A1597"/>
  <c r="C1597"/>
  <c r="H1597"/>
  <c r="A1598"/>
  <c r="C1598"/>
  <c r="H1598"/>
  <c r="A1599"/>
  <c r="C1599"/>
  <c r="H1599"/>
  <c r="A1600"/>
  <c r="C1600"/>
  <c r="H1600"/>
  <c r="A1601"/>
  <c r="C1601"/>
  <c r="H1601"/>
  <c r="A1602"/>
  <c r="C1602"/>
  <c r="H1602"/>
  <c r="A1603"/>
  <c r="C1603"/>
  <c r="H1603"/>
  <c r="A1604"/>
  <c r="C1604"/>
  <c r="H1604"/>
  <c r="A1605"/>
  <c r="C1605"/>
  <c r="H1605"/>
  <c r="A1606"/>
  <c r="C1606"/>
  <c r="H1606"/>
  <c r="A1607"/>
  <c r="C1607"/>
  <c r="H1607"/>
  <c r="A1608"/>
  <c r="C1608"/>
  <c r="H1608"/>
  <c r="A1609"/>
  <c r="C1609"/>
  <c r="H1609"/>
  <c r="A1610"/>
  <c r="C1610"/>
  <c r="H1610"/>
  <c r="A1611"/>
  <c r="C1611"/>
  <c r="H1611"/>
  <c r="A1612"/>
  <c r="C1612"/>
  <c r="H1612"/>
  <c r="A1613"/>
  <c r="C1613"/>
  <c r="H1613"/>
  <c r="A1614"/>
  <c r="C1614"/>
  <c r="H1614"/>
  <c r="A1615"/>
  <c r="C1615"/>
  <c r="H1615"/>
  <c r="A1616"/>
  <c r="C1616"/>
  <c r="H1616"/>
  <c r="A1617"/>
  <c r="C1617"/>
  <c r="H1617"/>
  <c r="A1618"/>
  <c r="C1618"/>
  <c r="H1618"/>
  <c r="A1619"/>
  <c r="C1619"/>
  <c r="H1619"/>
  <c r="A1620"/>
  <c r="C1620"/>
  <c r="H1620"/>
  <c r="A1621"/>
  <c r="C1621"/>
  <c r="H1621"/>
  <c r="A1622"/>
  <c r="C1622"/>
  <c r="H1622"/>
  <c r="A1623"/>
  <c r="C1623"/>
  <c r="H1623"/>
  <c r="A1624"/>
  <c r="C1624"/>
  <c r="H1624"/>
  <c r="A1625"/>
  <c r="C1625"/>
  <c r="H1625"/>
  <c r="A1626"/>
  <c r="C1626"/>
  <c r="H1626"/>
  <c r="A1627"/>
  <c r="C1627"/>
  <c r="H1627"/>
  <c r="A1628"/>
  <c r="C1628"/>
  <c r="H1628"/>
  <c r="A1629"/>
  <c r="C1629"/>
  <c r="H1629"/>
  <c r="A1630"/>
  <c r="C1630"/>
  <c r="H1630"/>
  <c r="A1631"/>
  <c r="C1631"/>
  <c r="H1631"/>
  <c r="A1632"/>
  <c r="C1632"/>
  <c r="H1632"/>
  <c r="A1633"/>
  <c r="C1633"/>
  <c r="H1633"/>
  <c r="A1634"/>
  <c r="C1634"/>
  <c r="H1634"/>
  <c r="A1635"/>
  <c r="C1635"/>
  <c r="H1635"/>
  <c r="A1636"/>
  <c r="C1636"/>
  <c r="H1636"/>
  <c r="A1637"/>
  <c r="C1637"/>
  <c r="H1637"/>
  <c r="A1638"/>
  <c r="C1638"/>
  <c r="H1638"/>
  <c r="A1639"/>
  <c r="C1639"/>
  <c r="H1639"/>
  <c r="A1640"/>
  <c r="C1640"/>
  <c r="H1640"/>
  <c r="A1641"/>
  <c r="C1641"/>
  <c r="H1641"/>
  <c r="A1642"/>
  <c r="C1642"/>
  <c r="H1642"/>
  <c r="A1643"/>
  <c r="C1643"/>
  <c r="H1643"/>
  <c r="A1644"/>
  <c r="C1644"/>
  <c r="H1644"/>
  <c r="A1645"/>
  <c r="C1645"/>
  <c r="H1645"/>
  <c r="A1646"/>
  <c r="C1646"/>
  <c r="H1646"/>
  <c r="A1647"/>
  <c r="C1647"/>
  <c r="H1647"/>
  <c r="A1648"/>
  <c r="C1648"/>
  <c r="H1648"/>
  <c r="A1649"/>
  <c r="C1649"/>
  <c r="H1649"/>
  <c r="A1650"/>
  <c r="C1650"/>
  <c r="H1650"/>
  <c r="A1651"/>
  <c r="C1651"/>
  <c r="H1651"/>
  <c r="A1652"/>
  <c r="C1652"/>
  <c r="H1652"/>
  <c r="A1653"/>
  <c r="C1653"/>
  <c r="H1653"/>
  <c r="A1654"/>
  <c r="C1654"/>
  <c r="H1654"/>
  <c r="A1655"/>
  <c r="C1655"/>
  <c r="H1655"/>
  <c r="A1656"/>
  <c r="C1656"/>
  <c r="H1656"/>
  <c r="A1657"/>
  <c r="C1657"/>
  <c r="H1657"/>
  <c r="A1658"/>
  <c r="C1658"/>
  <c r="H1658"/>
  <c r="A1659"/>
  <c r="C1659"/>
  <c r="H1659"/>
  <c r="A1660"/>
  <c r="C1660"/>
  <c r="H1660"/>
  <c r="A1661"/>
  <c r="C1661"/>
  <c r="H1661"/>
  <c r="A1662"/>
  <c r="C1662"/>
  <c r="H1662"/>
  <c r="A1663"/>
  <c r="C1663"/>
  <c r="H1663"/>
  <c r="A1664"/>
  <c r="C1664"/>
  <c r="H1664"/>
  <c r="A1665"/>
  <c r="C1665"/>
  <c r="H1665"/>
  <c r="A1666"/>
  <c r="C1666"/>
  <c r="H1666"/>
  <c r="A1667"/>
  <c r="C1667"/>
  <c r="H1667"/>
  <c r="A1668"/>
  <c r="C1668"/>
  <c r="H1668"/>
  <c r="A1669"/>
  <c r="C1669"/>
  <c r="H1669"/>
  <c r="A1670"/>
  <c r="C1670"/>
  <c r="H1670"/>
  <c r="A1671"/>
  <c r="C1671"/>
  <c r="H1671"/>
  <c r="A1672"/>
  <c r="C1672"/>
  <c r="H1672"/>
  <c r="A1673"/>
  <c r="C1673"/>
  <c r="H1673"/>
  <c r="A1674"/>
  <c r="C1674"/>
  <c r="H1674"/>
  <c r="A1675"/>
  <c r="C1675"/>
  <c r="H1675"/>
  <c r="A1676"/>
  <c r="C1676"/>
  <c r="H1676"/>
  <c r="A1677"/>
  <c r="C1677"/>
  <c r="H1677"/>
  <c r="A1678"/>
  <c r="C1678"/>
  <c r="H1678"/>
  <c r="A1679"/>
  <c r="C1679"/>
  <c r="H1679"/>
  <c r="A1680"/>
  <c r="C1680"/>
  <c r="H1680"/>
  <c r="A1681"/>
  <c r="C1681"/>
  <c r="H1681"/>
  <c r="A1682"/>
  <c r="C1682"/>
  <c r="H1682"/>
  <c r="A1683"/>
  <c r="C1683"/>
  <c r="H1683"/>
  <c r="A1684"/>
  <c r="C1684"/>
  <c r="H1684"/>
  <c r="A1685"/>
  <c r="C1685"/>
  <c r="H1685"/>
  <c r="A1686"/>
  <c r="C1686"/>
  <c r="H1686"/>
  <c r="A1687"/>
  <c r="C1687"/>
  <c r="H1687"/>
  <c r="A1688"/>
  <c r="C1688"/>
  <c r="H1688"/>
  <c r="A1689"/>
  <c r="C1689"/>
  <c r="H1689"/>
  <c r="A1690"/>
  <c r="C1690"/>
  <c r="H1690"/>
  <c r="A1691"/>
  <c r="C1691"/>
  <c r="H1691"/>
  <c r="A1692"/>
  <c r="C1692"/>
  <c r="H1692"/>
  <c r="A1693"/>
  <c r="C1693"/>
  <c r="H1693"/>
  <c r="A1694"/>
  <c r="C1694"/>
  <c r="H1694"/>
  <c r="A1695"/>
  <c r="C1695"/>
  <c r="H1695"/>
  <c r="A1696"/>
  <c r="C1696"/>
  <c r="H1696"/>
  <c r="A1697"/>
  <c r="C1697"/>
  <c r="H1697"/>
  <c r="A1698"/>
  <c r="C1698"/>
  <c r="H1698"/>
  <c r="A1699"/>
  <c r="C1699"/>
  <c r="H1699"/>
  <c r="A1700"/>
  <c r="C1700"/>
  <c r="H1700"/>
  <c r="A1701"/>
  <c r="C1701"/>
  <c r="H1701"/>
  <c r="A1702"/>
  <c r="C1702"/>
  <c r="H1702"/>
  <c r="A1703"/>
  <c r="C1703"/>
  <c r="H1703"/>
  <c r="A1704"/>
  <c r="C1704"/>
  <c r="H1704"/>
  <c r="A1705"/>
  <c r="C1705"/>
  <c r="H1705"/>
  <c r="A1706"/>
  <c r="C1706"/>
  <c r="H1706"/>
  <c r="A1707"/>
  <c r="C1707"/>
  <c r="H1707"/>
  <c r="A1708"/>
  <c r="C1708"/>
  <c r="H1708"/>
  <c r="A1709"/>
  <c r="C1709"/>
  <c r="H1709"/>
  <c r="A1710"/>
  <c r="C1710"/>
  <c r="H1710"/>
  <c r="A1711"/>
  <c r="C1711"/>
  <c r="H1711"/>
  <c r="A1712"/>
  <c r="C1712"/>
  <c r="H1712"/>
  <c r="A1713"/>
  <c r="C1713"/>
  <c r="H1713"/>
  <c r="A1714"/>
  <c r="C1714"/>
  <c r="A1715"/>
  <c r="C1715"/>
  <c r="H1715"/>
  <c r="A1716"/>
  <c r="C1716"/>
  <c r="H1716"/>
  <c r="A1717"/>
  <c r="C1717"/>
  <c r="H1717"/>
  <c r="A1718"/>
  <c r="C1718"/>
  <c r="H1718"/>
  <c r="A1719"/>
  <c r="C1719"/>
  <c r="H1719"/>
  <c r="A1720"/>
  <c r="C1720"/>
  <c r="H1720"/>
  <c r="A1721"/>
  <c r="C1721"/>
  <c r="H1721"/>
  <c r="A1722"/>
  <c r="C1722"/>
  <c r="H1722"/>
  <c r="A1723"/>
  <c r="C1723"/>
  <c r="H1723"/>
  <c r="A1724"/>
  <c r="C1724"/>
  <c r="H1724"/>
  <c r="A1725"/>
  <c r="C1725"/>
  <c r="H1725"/>
  <c r="A1726"/>
  <c r="C1726"/>
  <c r="H1726"/>
  <c r="A1727"/>
  <c r="C1727"/>
  <c r="H1727"/>
  <c r="A1728"/>
  <c r="C1728"/>
  <c r="H1728"/>
  <c r="A1729"/>
  <c r="C1729"/>
  <c r="H1729"/>
  <c r="A1730"/>
  <c r="C1730"/>
  <c r="H1730"/>
  <c r="A1731"/>
  <c r="C1731"/>
  <c r="H1731"/>
  <c r="A1732"/>
  <c r="C1732"/>
  <c r="H1732"/>
  <c r="A1733"/>
  <c r="C1733"/>
  <c r="H1733"/>
  <c r="A1734"/>
  <c r="C1734"/>
  <c r="H1734"/>
  <c r="A1735"/>
  <c r="C1735"/>
  <c r="H1735"/>
  <c r="A1736"/>
  <c r="C1736"/>
  <c r="H1736"/>
  <c r="A1737"/>
  <c r="C1737"/>
  <c r="H1737"/>
  <c r="A1738"/>
  <c r="C1738"/>
  <c r="E1738"/>
  <c r="H1738"/>
  <c r="A1739"/>
  <c r="C1739"/>
  <c r="E1739"/>
  <c r="H1739"/>
  <c r="A1740"/>
  <c r="C1740"/>
  <c r="E1740"/>
  <c r="H1740"/>
  <c r="A1741"/>
  <c r="C1741"/>
  <c r="H1741"/>
  <c r="A1742"/>
  <c r="C1742"/>
  <c r="H1742"/>
  <c r="A1743"/>
  <c r="C1743"/>
  <c r="H1743"/>
  <c r="A1744"/>
  <c r="C1744"/>
  <c r="H1744"/>
  <c r="A1745"/>
  <c r="C1745"/>
  <c r="H1745"/>
  <c r="A1746"/>
  <c r="C1746"/>
  <c r="H1746"/>
  <c r="A1747"/>
  <c r="C1747"/>
  <c r="H1747"/>
  <c r="A1748"/>
  <c r="C1748"/>
  <c r="H1748"/>
  <c r="A1749"/>
  <c r="C1749"/>
  <c r="H1749"/>
  <c r="A1750"/>
  <c r="C1750"/>
  <c r="H1750"/>
  <c r="A1751"/>
  <c r="C1751"/>
  <c r="H1751"/>
  <c r="A1752"/>
  <c r="C1752"/>
  <c r="H1752"/>
  <c r="A1753"/>
  <c r="C1753"/>
  <c r="H1753"/>
  <c r="A1754"/>
  <c r="C1754"/>
  <c r="H1754"/>
  <c r="A1755"/>
  <c r="C1755"/>
  <c r="H1755"/>
  <c r="A1756"/>
  <c r="C1756"/>
  <c r="H1756"/>
  <c r="A1757"/>
  <c r="C1757"/>
  <c r="H1757"/>
  <c r="A1758"/>
  <c r="C1758"/>
  <c r="H1758"/>
  <c r="A1759"/>
  <c r="C1759"/>
  <c r="H1759"/>
  <c r="A1760"/>
  <c r="C1760"/>
  <c r="H1760"/>
  <c r="A1761"/>
  <c r="C1761"/>
  <c r="H1761"/>
  <c r="A1762"/>
  <c r="C1762"/>
  <c r="H1762"/>
  <c r="A1763"/>
  <c r="C1763"/>
  <c r="H1763"/>
  <c r="A1764"/>
  <c r="C1764"/>
  <c r="H1764"/>
  <c r="A1765"/>
  <c r="C1765"/>
  <c r="H1765"/>
  <c r="A1766"/>
  <c r="C1766"/>
  <c r="H1766"/>
  <c r="A1767"/>
  <c r="C1767"/>
  <c r="H1767"/>
  <c r="A1768"/>
  <c r="C1768"/>
  <c r="H1768"/>
  <c r="A1769"/>
  <c r="C1769"/>
  <c r="H1769"/>
  <c r="A1770"/>
  <c r="C1770"/>
  <c r="H1770"/>
  <c r="A1771"/>
  <c r="C1771"/>
  <c r="H1771"/>
  <c r="A1772"/>
  <c r="C1772"/>
  <c r="H1772"/>
  <c r="A1773"/>
  <c r="C1773"/>
  <c r="H1773"/>
  <c r="A1774"/>
  <c r="C1774"/>
  <c r="H1774"/>
  <c r="A1775"/>
  <c r="C1775"/>
  <c r="H1775"/>
  <c r="A1776"/>
  <c r="C1776"/>
  <c r="H1776"/>
  <c r="A1777"/>
  <c r="C1777"/>
  <c r="H1777"/>
  <c r="A1778"/>
  <c r="C1778"/>
  <c r="H1778"/>
  <c r="A1779"/>
  <c r="C1779"/>
  <c r="H1779"/>
  <c r="A1780"/>
  <c r="C1780"/>
  <c r="H1780"/>
  <c r="A1781"/>
  <c r="C1781"/>
  <c r="H1781"/>
  <c r="A1782"/>
  <c r="C1782"/>
  <c r="H1782"/>
  <c r="A1783"/>
  <c r="C1783"/>
  <c r="H1783"/>
  <c r="A1784"/>
  <c r="C1784"/>
  <c r="H1784"/>
  <c r="A1785"/>
  <c r="C1785"/>
  <c r="H1785"/>
  <c r="A1786"/>
  <c r="C1786"/>
  <c r="H1786"/>
  <c r="A1787"/>
  <c r="C1787"/>
  <c r="H1787"/>
  <c r="A1788"/>
  <c r="C1788"/>
  <c r="H1788"/>
  <c r="A1789"/>
  <c r="C1789"/>
  <c r="H1789"/>
  <c r="A1790"/>
  <c r="C1790"/>
  <c r="H1790"/>
  <c r="A1791"/>
  <c r="C1791"/>
  <c r="H1791"/>
  <c r="A1792"/>
  <c r="C1792"/>
  <c r="H1792"/>
  <c r="A1793"/>
  <c r="C1793"/>
  <c r="H1793"/>
  <c r="A1794"/>
  <c r="C1794"/>
  <c r="H1794"/>
  <c r="A1795"/>
  <c r="C1795"/>
  <c r="H1795"/>
  <c r="A1796"/>
  <c r="C1796"/>
  <c r="H1796"/>
  <c r="A1797"/>
  <c r="C1797"/>
  <c r="H1797"/>
  <c r="A1798"/>
  <c r="C1798"/>
  <c r="H1798"/>
  <c r="A1799"/>
  <c r="C1799"/>
  <c r="H1799"/>
  <c r="A1800"/>
  <c r="C1800"/>
  <c r="H1800"/>
  <c r="A1801"/>
  <c r="C1801"/>
  <c r="H1801"/>
  <c r="A1802"/>
  <c r="C1802"/>
  <c r="H1802"/>
  <c r="A1803"/>
  <c r="C1803"/>
  <c r="H1803"/>
  <c r="A1804"/>
  <c r="C1804"/>
  <c r="H1804"/>
  <c r="A1805"/>
  <c r="C1805"/>
  <c r="H1805"/>
  <c r="A1806"/>
  <c r="C1806"/>
  <c r="H1806"/>
  <c r="A1807"/>
  <c r="C1807"/>
  <c r="H1807"/>
  <c r="A1808"/>
  <c r="C1808"/>
  <c r="H1808"/>
  <c r="A1809"/>
  <c r="C1809"/>
  <c r="H1809"/>
  <c r="A1810"/>
  <c r="C1810"/>
  <c r="H1810"/>
  <c r="A1811"/>
  <c r="C1811"/>
  <c r="H1811"/>
  <c r="A1812"/>
  <c r="C1812"/>
  <c r="H1812"/>
  <c r="A1813"/>
  <c r="C1813"/>
  <c r="H1813"/>
  <c r="A1814"/>
  <c r="C1814"/>
  <c r="H1814"/>
  <c r="A1815"/>
  <c r="C1815"/>
  <c r="H1815"/>
  <c r="A1816"/>
  <c r="C1816"/>
  <c r="H1816"/>
  <c r="A1817"/>
  <c r="C1817"/>
  <c r="H1817"/>
  <c r="A1818"/>
  <c r="C1818"/>
  <c r="H1818"/>
  <c r="A1819"/>
  <c r="C1819"/>
  <c r="H1819"/>
  <c r="A1820"/>
  <c r="C1820"/>
  <c r="H1820"/>
  <c r="A1821"/>
  <c r="C1821"/>
  <c r="H1821"/>
  <c r="A1822"/>
  <c r="C1822"/>
  <c r="H1822"/>
  <c r="A1823"/>
  <c r="C1823"/>
  <c r="H1823"/>
  <c r="A1824"/>
  <c r="C1824"/>
  <c r="H1824"/>
  <c r="A1825"/>
  <c r="C1825"/>
  <c r="H1825"/>
  <c r="A1826"/>
  <c r="C1826"/>
  <c r="H1826"/>
  <c r="A1827"/>
  <c r="C1827"/>
  <c r="H1827"/>
  <c r="A1828"/>
  <c r="C1828"/>
  <c r="H1828"/>
  <c r="A1829"/>
  <c r="C1829"/>
  <c r="H1829"/>
  <c r="A1830"/>
  <c r="C1830"/>
  <c r="H1830"/>
  <c r="A1831"/>
  <c r="C1831"/>
  <c r="H1831"/>
  <c r="A1832"/>
  <c r="C1832"/>
  <c r="H1832"/>
  <c r="A1833"/>
  <c r="C1833"/>
  <c r="H1833"/>
  <c r="A1834"/>
  <c r="C1834"/>
  <c r="H1834"/>
  <c r="A1835"/>
  <c r="C1835"/>
  <c r="H1835"/>
  <c r="A1836"/>
  <c r="C1836"/>
  <c r="H1836"/>
  <c r="A1837"/>
  <c r="C1837"/>
  <c r="H1837"/>
  <c r="A1838"/>
  <c r="C1838"/>
  <c r="H1838"/>
  <c r="A1839"/>
  <c r="C1839"/>
  <c r="H1839"/>
  <c r="A1840"/>
  <c r="C1840"/>
  <c r="H1840"/>
  <c r="A1841"/>
  <c r="C1841"/>
  <c r="H1841"/>
  <c r="A1842"/>
  <c r="C1842"/>
  <c r="H1842"/>
  <c r="A1843"/>
  <c r="C1843"/>
  <c r="H1843"/>
  <c r="A1844"/>
  <c r="C1844"/>
  <c r="H1844"/>
  <c r="A1845"/>
  <c r="C1845"/>
  <c r="H1845"/>
  <c r="A1846"/>
  <c r="C1846"/>
  <c r="H1846"/>
  <c r="A1847"/>
  <c r="C1847"/>
  <c r="H1847"/>
  <c r="A1848"/>
  <c r="C1848"/>
  <c r="H1848"/>
  <c r="A1849"/>
  <c r="C1849"/>
  <c r="H1849"/>
  <c r="A1850"/>
  <c r="C1850"/>
  <c r="H1850"/>
  <c r="A1851"/>
  <c r="C1851"/>
  <c r="H1851"/>
  <c r="A1852"/>
  <c r="C1852"/>
  <c r="H1852"/>
  <c r="A1853"/>
  <c r="C1853"/>
  <c r="H1853"/>
  <c r="A1854"/>
  <c r="C1854"/>
  <c r="H1854"/>
  <c r="A1855"/>
  <c r="C1855"/>
  <c r="H1855"/>
  <c r="A1856"/>
  <c r="C1856"/>
  <c r="H1856"/>
  <c r="A1857"/>
  <c r="C1857"/>
  <c r="H1857"/>
  <c r="A1858"/>
  <c r="C1858"/>
  <c r="H1858"/>
  <c r="A1859"/>
  <c r="C1859"/>
  <c r="H1859"/>
  <c r="A1860"/>
  <c r="C1860"/>
  <c r="H1860"/>
  <c r="A1861"/>
  <c r="C1861"/>
  <c r="H1861"/>
  <c r="A1862"/>
  <c r="C1862"/>
  <c r="H1862"/>
  <c r="A1863"/>
  <c r="C1863"/>
  <c r="H1863"/>
  <c r="A1864"/>
  <c r="C1864"/>
  <c r="H1864"/>
  <c r="A1865"/>
  <c r="C1865"/>
  <c r="H1865"/>
  <c r="A1866"/>
  <c r="C1866"/>
  <c r="H1866"/>
  <c r="A1867"/>
  <c r="C1867"/>
  <c r="H1867"/>
  <c r="A1868"/>
  <c r="C1868"/>
  <c r="H1868"/>
  <c r="A1869"/>
  <c r="C1869"/>
  <c r="H1869"/>
  <c r="A1870"/>
  <c r="C1870"/>
  <c r="H1870"/>
  <c r="A1871"/>
  <c r="C1871"/>
  <c r="H1871"/>
  <c r="A1872"/>
  <c r="C1872"/>
  <c r="H1872"/>
  <c r="A1873"/>
  <c r="C1873"/>
  <c r="H1873"/>
  <c r="A1874"/>
  <c r="C1874"/>
  <c r="H1874"/>
  <c r="A1875"/>
  <c r="C1875"/>
  <c r="H1875"/>
  <c r="A1876"/>
  <c r="C1876"/>
  <c r="H1876"/>
  <c r="A1877"/>
  <c r="C1877"/>
  <c r="H1877"/>
  <c r="A1878"/>
  <c r="C1878"/>
  <c r="H1878"/>
  <c r="A1879"/>
  <c r="C1879"/>
  <c r="H1879"/>
  <c r="A1880"/>
  <c r="C1880"/>
  <c r="H1880"/>
  <c r="A1881"/>
  <c r="C1881"/>
  <c r="H1881"/>
  <c r="A1882"/>
  <c r="C1882"/>
  <c r="H1882"/>
  <c r="A1883"/>
  <c r="C1883"/>
  <c r="H1883"/>
  <c r="A1884"/>
  <c r="C1884"/>
  <c r="H1884"/>
  <c r="A1885"/>
  <c r="C1885"/>
  <c r="H1885"/>
  <c r="A1886"/>
  <c r="C1886"/>
  <c r="H1886"/>
  <c r="A1887"/>
  <c r="C1887"/>
  <c r="H1887"/>
  <c r="A1888"/>
  <c r="C1888"/>
  <c r="H1888"/>
  <c r="A1889"/>
  <c r="C1889"/>
  <c r="H1889"/>
  <c r="A1890"/>
  <c r="C1890"/>
  <c r="H1890"/>
  <c r="A1891"/>
  <c r="C1891"/>
  <c r="H1891"/>
  <c r="A1892"/>
  <c r="C1892"/>
  <c r="H1892"/>
  <c r="A1893"/>
  <c r="C1893"/>
  <c r="H1893"/>
  <c r="A1894"/>
  <c r="C1894"/>
  <c r="H1894"/>
  <c r="A1895"/>
  <c r="C1895"/>
  <c r="H1895"/>
  <c r="A1896"/>
  <c r="C1896"/>
  <c r="H1896"/>
  <c r="A1897"/>
  <c r="C1897"/>
  <c r="H1897"/>
  <c r="A1898"/>
  <c r="C1898"/>
  <c r="H1898"/>
  <c r="A1899"/>
  <c r="C1899"/>
  <c r="H1899"/>
  <c r="A1900"/>
  <c r="C1900"/>
  <c r="H1900"/>
  <c r="A1901"/>
  <c r="C1901"/>
  <c r="H1901"/>
  <c r="A1902"/>
  <c r="C1902"/>
  <c r="H1902"/>
  <c r="A1903"/>
  <c r="C1903"/>
  <c r="H1903"/>
  <c r="A1904"/>
  <c r="C1904"/>
  <c r="H1904"/>
  <c r="A1905"/>
  <c r="C1905"/>
  <c r="H1905"/>
  <c r="A1906"/>
  <c r="C1906"/>
  <c r="H1906"/>
  <c r="A1907"/>
  <c r="C1907"/>
  <c r="H1907"/>
  <c r="A1908"/>
  <c r="C1908"/>
  <c r="H1908"/>
  <c r="A1909"/>
  <c r="C1909"/>
  <c r="H1909"/>
  <c r="A1910"/>
  <c r="C1910"/>
  <c r="H1910"/>
  <c r="A1911"/>
  <c r="C1911"/>
  <c r="H1911"/>
  <c r="A1912"/>
  <c r="C1912"/>
  <c r="H1912"/>
  <c r="A1913"/>
  <c r="C1913"/>
  <c r="H1913"/>
  <c r="A1914"/>
  <c r="C1914"/>
  <c r="H1914"/>
  <c r="A1915"/>
  <c r="C1915"/>
  <c r="H1915"/>
  <c r="A1916"/>
  <c r="C1916"/>
  <c r="H1916"/>
  <c r="A1917"/>
  <c r="C1917"/>
  <c r="H1917"/>
  <c r="A1918"/>
  <c r="C1918"/>
  <c r="H1918"/>
  <c r="A1919"/>
  <c r="C1919"/>
  <c r="H1919"/>
  <c r="A1920"/>
  <c r="C1920"/>
  <c r="H1920"/>
  <c r="A1921"/>
  <c r="C1921"/>
  <c r="H1921"/>
  <c r="A1922"/>
  <c r="C1922"/>
  <c r="H1922"/>
  <c r="A1923"/>
  <c r="C1923"/>
  <c r="H1923"/>
  <c r="A1924"/>
  <c r="C1924"/>
  <c r="H1924"/>
  <c r="A1925"/>
  <c r="C1925"/>
  <c r="H1925"/>
  <c r="A1926"/>
  <c r="C1926"/>
  <c r="H1926"/>
  <c r="A1927"/>
  <c r="C1927"/>
  <c r="H1927"/>
  <c r="A1928"/>
  <c r="C1928"/>
  <c r="H1928"/>
  <c r="A1929"/>
  <c r="C1929"/>
  <c r="H1929"/>
  <c r="A1930"/>
  <c r="C1930"/>
  <c r="H1930"/>
  <c r="A1931"/>
  <c r="C1931"/>
  <c r="H1931"/>
  <c r="A1932"/>
  <c r="C1932"/>
  <c r="H1932"/>
  <c r="A1933"/>
  <c r="C1933"/>
  <c r="H1933"/>
  <c r="A1934"/>
  <c r="C1934"/>
  <c r="H1934"/>
  <c r="A1935"/>
  <c r="C1935"/>
  <c r="H1935"/>
  <c r="A1936"/>
  <c r="C1936"/>
  <c r="H1936"/>
  <c r="A1937"/>
  <c r="C1937"/>
  <c r="H1937"/>
  <c r="A1938"/>
  <c r="C1938"/>
  <c r="H1938"/>
  <c r="A1939"/>
  <c r="C1939"/>
  <c r="H1939"/>
  <c r="A1940"/>
  <c r="C1940"/>
  <c r="H1940"/>
  <c r="A1941"/>
  <c r="C1941"/>
  <c r="H1941"/>
  <c r="A1942"/>
  <c r="C1942"/>
  <c r="H1942"/>
  <c r="A1943"/>
  <c r="C1943"/>
  <c r="H1943"/>
  <c r="A1944"/>
  <c r="C1944"/>
  <c r="H1944"/>
  <c r="A1945"/>
  <c r="C1945"/>
  <c r="H1945"/>
  <c r="A1946"/>
  <c r="C1946"/>
  <c r="H1946"/>
  <c r="A1947"/>
  <c r="C1947"/>
  <c r="H1947"/>
  <c r="A1948"/>
  <c r="C1948"/>
  <c r="H1948"/>
  <c r="A1949"/>
  <c r="C1949"/>
  <c r="H1949"/>
  <c r="A1950"/>
  <c r="C1950"/>
  <c r="H1950"/>
  <c r="A1951"/>
  <c r="C1951"/>
  <c r="H1951"/>
  <c r="A1952"/>
  <c r="C1952"/>
  <c r="H1952"/>
  <c r="A1953"/>
  <c r="C1953"/>
  <c r="E1953"/>
  <c r="H1953"/>
  <c r="A1954"/>
  <c r="C1954"/>
  <c r="H1954"/>
  <c r="A1955"/>
  <c r="C1955"/>
  <c r="H1955"/>
  <c r="A1956"/>
  <c r="C1956"/>
  <c r="H1956"/>
  <c r="A1957"/>
  <c r="C1957"/>
  <c r="H1957"/>
  <c r="A1958"/>
  <c r="C1958"/>
  <c r="H1958"/>
  <c r="A1959"/>
  <c r="C1959"/>
  <c r="H1959"/>
  <c r="A1960"/>
  <c r="C1960"/>
  <c r="H1960"/>
  <c r="A1961"/>
  <c r="C1961"/>
  <c r="H1961"/>
  <c r="A1962"/>
  <c r="C1962"/>
  <c r="H1962"/>
  <c r="A1963"/>
  <c r="C1963"/>
  <c r="H1963"/>
  <c r="A1964"/>
  <c r="C1964"/>
  <c r="H1964"/>
  <c r="A1965"/>
  <c r="C1965"/>
  <c r="H1965"/>
  <c r="A1966"/>
  <c r="C1966"/>
  <c r="H1966"/>
  <c r="A1967"/>
  <c r="C1967"/>
  <c r="H1967"/>
  <c r="A1968"/>
  <c r="C1968"/>
  <c r="H1968"/>
  <c r="A1969"/>
  <c r="C1969"/>
  <c r="H1969"/>
  <c r="A1970"/>
  <c r="C1970"/>
  <c r="H1970"/>
  <c r="A1971"/>
  <c r="C1971"/>
  <c r="H1971"/>
  <c r="A1972"/>
  <c r="C1972"/>
  <c r="H1972"/>
  <c r="A1973"/>
  <c r="C1973"/>
  <c r="E1973"/>
  <c r="H1973"/>
  <c r="A1974"/>
  <c r="C1974"/>
  <c r="H1974"/>
  <c r="A1975"/>
  <c r="C1975"/>
  <c r="H1975"/>
  <c r="A1976"/>
  <c r="C1976"/>
  <c r="H1976"/>
  <c r="A1977"/>
  <c r="C1977"/>
  <c r="H1977"/>
  <c r="A1978"/>
  <c r="C1978"/>
  <c r="H1978"/>
  <c r="A1979"/>
  <c r="C1979"/>
  <c r="H1979"/>
  <c r="A1980"/>
  <c r="C1980"/>
  <c r="H1980"/>
  <c r="A1981"/>
  <c r="C1981"/>
  <c r="H1981"/>
  <c r="A1982"/>
  <c r="C1982"/>
  <c r="H1982"/>
  <c r="A1983"/>
  <c r="C1983"/>
  <c r="H1983"/>
  <c r="A1984"/>
  <c r="C1984"/>
  <c r="H1984"/>
  <c r="A1985"/>
  <c r="C1985"/>
  <c r="H1985"/>
  <c r="A1986"/>
  <c r="C1986"/>
  <c r="H1986"/>
  <c r="A1987"/>
  <c r="C1987"/>
  <c r="H1987"/>
  <c r="A1988"/>
  <c r="C1988"/>
  <c r="H1988"/>
  <c r="A1989"/>
  <c r="C1989"/>
  <c r="H1989"/>
  <c r="A1990"/>
  <c r="C1990"/>
  <c r="H1990"/>
  <c r="A1991"/>
  <c r="C1991"/>
  <c r="H1991"/>
  <c r="A1992"/>
  <c r="C1992"/>
  <c r="H1992"/>
  <c r="A1993"/>
  <c r="C1993"/>
  <c r="H1993"/>
  <c r="A1994"/>
  <c r="C1994"/>
  <c r="H1994"/>
  <c r="A1995"/>
  <c r="C1995"/>
  <c r="H1995"/>
  <c r="A1996"/>
  <c r="C1996"/>
  <c r="H1996"/>
  <c r="A1997"/>
  <c r="C1997"/>
  <c r="H1997"/>
  <c r="A1998"/>
  <c r="C1998"/>
  <c r="H1998"/>
  <c r="A1999"/>
  <c r="C1999"/>
  <c r="H1999"/>
  <c r="A2000"/>
  <c r="C2000"/>
  <c r="H2000"/>
  <c r="A2001"/>
  <c r="C2001"/>
  <c r="H2001"/>
  <c r="A2002"/>
  <c r="C2002"/>
  <c r="H2002"/>
  <c r="A2003"/>
  <c r="C2003"/>
  <c r="H2003"/>
  <c r="A2004"/>
  <c r="C2004"/>
  <c r="H2004"/>
  <c r="A2005"/>
  <c r="C2005"/>
  <c r="H2005"/>
  <c r="A2006"/>
  <c r="C2006"/>
  <c r="H2006"/>
  <c r="A2007"/>
  <c r="C2007"/>
  <c r="H2007"/>
  <c r="A2008"/>
  <c r="C2008"/>
  <c r="H2008"/>
  <c r="A2009"/>
  <c r="C2009"/>
  <c r="H2009"/>
  <c r="A2010"/>
  <c r="C2010"/>
  <c r="H2010"/>
  <c r="A2011"/>
  <c r="C2011"/>
  <c r="H2011"/>
  <c r="A2012"/>
  <c r="C2012"/>
  <c r="H2012"/>
  <c r="A2013"/>
  <c r="C2013"/>
  <c r="H2013"/>
  <c r="A2014"/>
  <c r="C2014"/>
  <c r="H2014"/>
  <c r="A2015"/>
  <c r="C2015"/>
  <c r="H2015"/>
  <c r="A2016"/>
  <c r="C2016"/>
  <c r="H2016"/>
  <c r="A2017"/>
  <c r="C2017"/>
  <c r="H2017"/>
  <c r="A2018"/>
  <c r="C2018"/>
  <c r="H2018"/>
  <c r="A2019"/>
  <c r="C2019"/>
  <c r="H2019"/>
  <c r="A2020"/>
  <c r="C2020"/>
  <c r="H2020"/>
  <c r="A2021"/>
  <c r="C2021"/>
  <c r="H2021"/>
  <c r="A2022"/>
  <c r="C2022"/>
  <c r="H2022"/>
  <c r="A2023"/>
  <c r="C2023"/>
  <c r="H2023"/>
  <c r="A2024"/>
  <c r="C2024"/>
  <c r="H2024"/>
  <c r="A2025"/>
  <c r="C2025"/>
  <c r="H2025"/>
  <c r="A2026"/>
  <c r="C2026"/>
  <c r="H2026"/>
  <c r="A2027"/>
  <c r="C2027"/>
  <c r="H2027"/>
  <c r="A2028"/>
  <c r="C2028"/>
  <c r="H2028"/>
  <c r="A2029"/>
  <c r="C2029"/>
  <c r="H2029"/>
  <c r="A2030"/>
  <c r="C2030"/>
  <c r="H2030"/>
  <c r="A2031"/>
  <c r="C2031"/>
  <c r="H2031"/>
  <c r="A2032"/>
  <c r="C2032"/>
  <c r="H2032"/>
  <c r="A2033"/>
  <c r="C2033"/>
  <c r="H2033"/>
  <c r="A2034"/>
  <c r="C2034"/>
  <c r="H2034"/>
  <c r="A2035"/>
  <c r="C2035"/>
  <c r="H2035"/>
  <c r="A2036"/>
  <c r="C2036"/>
  <c r="H2036"/>
  <c r="A2037"/>
  <c r="C2037"/>
  <c r="H2037"/>
  <c r="A2038"/>
  <c r="C2038"/>
  <c r="H2038"/>
  <c r="A2039"/>
  <c r="C2039"/>
  <c r="H2039"/>
  <c r="A2040"/>
  <c r="C2040"/>
  <c r="H2040"/>
  <c r="A2041"/>
  <c r="C2041"/>
  <c r="H2041"/>
  <c r="A2042"/>
  <c r="C2042"/>
  <c r="H2042"/>
  <c r="A2043"/>
  <c r="C2043"/>
  <c r="H2043"/>
  <c r="A2044"/>
  <c r="C2044"/>
  <c r="H2044"/>
  <c r="A2045"/>
  <c r="C2045"/>
  <c r="H2045"/>
  <c r="A2046"/>
  <c r="C2046"/>
  <c r="H2046"/>
  <c r="A2047"/>
  <c r="C2047"/>
  <c r="H2047"/>
  <c r="A2048"/>
  <c r="C2048"/>
  <c r="H2048"/>
  <c r="A2049"/>
  <c r="C2049"/>
  <c r="H2049"/>
  <c r="A2050"/>
  <c r="C2050"/>
  <c r="H2050"/>
  <c r="A2051"/>
  <c r="C2051"/>
  <c r="H2051"/>
  <c r="A2052"/>
  <c r="C2052"/>
  <c r="H2052"/>
  <c r="A2053"/>
  <c r="C2053"/>
  <c r="H2053"/>
  <c r="A2054"/>
  <c r="C2054"/>
  <c r="H2054"/>
  <c r="A2055"/>
  <c r="C2055"/>
  <c r="H2055"/>
  <c r="A2056"/>
  <c r="C2056"/>
  <c r="H2056"/>
  <c r="A2057"/>
  <c r="C2057"/>
  <c r="H2057"/>
  <c r="A2058"/>
  <c r="C2058"/>
  <c r="H2058"/>
  <c r="A2059"/>
  <c r="C2059"/>
  <c r="H2059"/>
  <c r="A2060"/>
  <c r="C2060"/>
  <c r="H2060"/>
  <c r="A2061"/>
  <c r="C2061"/>
  <c r="H2061"/>
  <c r="A2062"/>
  <c r="C2062"/>
  <c r="H2062"/>
  <c r="A2063"/>
  <c r="C2063"/>
  <c r="H2063"/>
  <c r="A2064"/>
  <c r="C2064"/>
  <c r="H2064"/>
  <c r="A2065"/>
  <c r="C2065"/>
  <c r="H2065"/>
  <c r="A2066"/>
  <c r="C2066"/>
  <c r="H2066"/>
  <c r="A2067"/>
  <c r="C2067"/>
  <c r="H2067"/>
  <c r="A2068"/>
  <c r="C2068"/>
  <c r="H2068"/>
  <c r="A2069"/>
  <c r="C2069"/>
  <c r="H2069"/>
  <c r="A2070"/>
  <c r="C2070"/>
  <c r="H2070"/>
  <c r="A2071"/>
  <c r="C2071"/>
  <c r="H2071"/>
  <c r="A2072"/>
  <c r="C2072"/>
  <c r="H2072"/>
  <c r="A2073"/>
  <c r="C2073"/>
  <c r="H2073"/>
  <c r="A2074"/>
  <c r="C2074"/>
  <c r="H2074"/>
  <c r="A2075"/>
  <c r="C2075"/>
  <c r="H2075"/>
  <c r="A2076"/>
  <c r="C2076"/>
  <c r="H2076"/>
  <c r="A2077"/>
  <c r="C2077"/>
  <c r="H2077"/>
  <c r="A2078"/>
  <c r="C2078"/>
  <c r="H2078"/>
  <c r="A2079"/>
  <c r="C2079"/>
  <c r="H2079"/>
  <c r="A2080"/>
  <c r="C2080"/>
  <c r="H2080"/>
  <c r="A2081"/>
  <c r="C2081"/>
  <c r="H2081"/>
  <c r="A2082"/>
  <c r="C2082"/>
  <c r="H2082"/>
  <c r="A2083"/>
  <c r="C2083"/>
  <c r="E2083"/>
  <c r="H2083"/>
  <c r="A2084"/>
  <c r="C2084"/>
  <c r="H2084"/>
  <c r="A2085"/>
  <c r="C2085"/>
  <c r="H2085"/>
  <c r="A2086"/>
  <c r="C2086"/>
  <c r="H2086"/>
  <c r="A2087"/>
  <c r="C2087"/>
  <c r="H2087"/>
  <c r="A2088"/>
  <c r="C2088"/>
  <c r="H2088"/>
  <c r="A2089"/>
  <c r="C2089"/>
  <c r="H2089"/>
  <c r="A2090"/>
  <c r="C2090"/>
  <c r="H2090"/>
  <c r="A2091"/>
  <c r="C2091"/>
  <c r="H2091"/>
  <c r="A2092"/>
  <c r="C2092"/>
  <c r="H2092"/>
  <c r="A2093"/>
  <c r="C2093"/>
  <c r="H2093"/>
  <c r="A2094"/>
  <c r="C2094"/>
  <c r="H2094"/>
  <c r="A2095"/>
  <c r="C2095"/>
  <c r="H2095"/>
  <c r="A2096"/>
  <c r="C2096"/>
  <c r="H2096"/>
  <c r="A2097"/>
  <c r="C2097"/>
  <c r="H2097"/>
  <c r="A2098"/>
  <c r="C2098"/>
  <c r="H2098"/>
  <c r="A2099"/>
  <c r="C2099"/>
  <c r="H2099"/>
  <c r="A2100"/>
  <c r="C2100"/>
  <c r="H2100"/>
  <c r="A2101"/>
  <c r="C2101"/>
  <c r="H2101"/>
  <c r="A2102"/>
  <c r="C2102"/>
  <c r="H2102"/>
  <c r="A2103"/>
  <c r="C2103"/>
  <c r="H2103"/>
  <c r="A2104"/>
  <c r="C2104"/>
  <c r="H2104"/>
  <c r="A2105"/>
  <c r="C2105"/>
  <c r="H2105"/>
  <c r="A2106"/>
  <c r="C2106"/>
  <c r="H2106"/>
  <c r="A2107"/>
  <c r="C2107"/>
  <c r="H2107"/>
  <c r="A2108"/>
  <c r="C2108"/>
  <c r="H2108"/>
  <c r="A2109"/>
  <c r="C2109"/>
  <c r="H2109"/>
  <c r="A2110"/>
  <c r="C2110"/>
  <c r="H2110"/>
  <c r="A2111"/>
  <c r="C2111"/>
  <c r="H2111"/>
  <c r="A2112"/>
  <c r="C2112"/>
  <c r="H2112"/>
  <c r="A2113"/>
  <c r="C2113"/>
  <c r="H2113"/>
  <c r="A2114"/>
  <c r="C2114"/>
  <c r="H2114"/>
  <c r="A2115"/>
  <c r="C2115"/>
  <c r="H2115"/>
  <c r="A2116"/>
  <c r="C2116"/>
  <c r="H2116"/>
  <c r="A2117"/>
  <c r="C2117"/>
  <c r="H2117"/>
  <c r="A2118"/>
  <c r="C2118"/>
  <c r="H2118"/>
  <c r="A2119"/>
  <c r="C2119"/>
  <c r="H2119"/>
  <c r="A2120"/>
  <c r="C2120"/>
  <c r="H2120"/>
  <c r="A2121"/>
  <c r="C2121"/>
  <c r="H2121"/>
  <c r="A2122"/>
  <c r="C2122"/>
  <c r="H2122"/>
  <c r="A2123"/>
  <c r="C2123"/>
  <c r="H2123"/>
  <c r="A2124"/>
  <c r="C2124"/>
  <c r="H2124"/>
  <c r="A2125"/>
  <c r="C2125"/>
  <c r="H2125"/>
  <c r="A2126"/>
  <c r="C2126"/>
  <c r="H2126"/>
  <c r="A2127"/>
  <c r="C2127"/>
  <c r="H2127"/>
  <c r="A2128"/>
  <c r="C2128"/>
  <c r="H2128"/>
  <c r="A2129"/>
  <c r="C2129"/>
  <c r="H2129"/>
  <c r="A2130"/>
  <c r="C2130"/>
  <c r="H2130"/>
  <c r="A2131"/>
  <c r="C2131"/>
  <c r="H2131"/>
  <c r="A2132"/>
  <c r="C2132"/>
  <c r="H2132"/>
  <c r="A2133"/>
  <c r="C2133"/>
  <c r="H2133"/>
  <c r="A2134"/>
  <c r="C2134"/>
  <c r="H2134"/>
  <c r="A2135"/>
  <c r="C2135"/>
  <c r="H2135"/>
  <c r="A2136"/>
  <c r="C2136"/>
  <c r="H2136"/>
  <c r="A2137"/>
  <c r="C2137"/>
  <c r="H2137"/>
  <c r="A2138"/>
  <c r="C2138"/>
  <c r="H2138"/>
  <c r="A2139"/>
  <c r="C2139"/>
  <c r="H2139"/>
  <c r="A2140"/>
  <c r="C2140"/>
  <c r="H2140"/>
  <c r="A2141"/>
  <c r="C2141"/>
  <c r="H2141"/>
  <c r="A2142"/>
  <c r="C2142"/>
  <c r="H2142"/>
  <c r="A2143"/>
  <c r="C2143"/>
  <c r="H2143"/>
  <c r="A2144"/>
  <c r="C2144"/>
  <c r="E2144"/>
  <c r="H2144"/>
  <c r="A2145"/>
  <c r="C2145"/>
  <c r="E2145"/>
  <c r="H2145"/>
  <c r="A2146"/>
  <c r="C2146"/>
  <c r="H2146"/>
  <c r="A2147"/>
  <c r="C2147"/>
  <c r="H2147"/>
  <c r="A2148"/>
  <c r="C2148"/>
  <c r="H2148"/>
  <c r="A2149"/>
  <c r="C2149"/>
  <c r="H2149"/>
  <c r="A2150"/>
  <c r="C2150"/>
  <c r="H2150"/>
  <c r="A2151"/>
  <c r="C2151"/>
  <c r="H2151"/>
  <c r="A2152"/>
  <c r="C2152"/>
  <c r="H2152"/>
  <c r="A2153"/>
  <c r="C2153"/>
  <c r="H2153"/>
  <c r="A2154"/>
  <c r="C2154"/>
  <c r="H2154"/>
  <c r="A2155"/>
  <c r="C2155"/>
  <c r="H2155"/>
  <c r="A2156"/>
  <c r="C2156"/>
  <c r="H2156"/>
  <c r="A2157"/>
  <c r="C2157"/>
  <c r="H2157"/>
  <c r="A2158"/>
  <c r="C2158"/>
  <c r="H2158"/>
  <c r="A2159"/>
  <c r="C2159"/>
  <c r="H2159"/>
  <c r="A2160"/>
  <c r="C2160"/>
  <c r="H2160"/>
  <c r="A2161"/>
  <c r="C2161"/>
  <c r="H2161"/>
  <c r="A2162"/>
  <c r="C2162"/>
  <c r="H2162"/>
  <c r="A2163"/>
  <c r="C2163"/>
  <c r="H2163"/>
  <c r="A2164"/>
  <c r="C2164"/>
  <c r="H2164"/>
  <c r="A2165"/>
  <c r="C2165"/>
  <c r="H2165"/>
  <c r="A2166"/>
  <c r="C2166"/>
  <c r="H2166"/>
  <c r="A2167"/>
  <c r="C2167"/>
  <c r="H2167"/>
  <c r="A2168"/>
  <c r="C2168"/>
  <c r="H2168"/>
  <c r="A2169"/>
  <c r="C2169"/>
  <c r="H2169"/>
  <c r="A2170"/>
  <c r="C2170"/>
  <c r="H2170"/>
  <c r="A2171"/>
  <c r="C2171"/>
  <c r="H2171"/>
  <c r="A2172"/>
  <c r="C2172"/>
  <c r="H2172"/>
  <c r="A2173"/>
  <c r="C2173"/>
  <c r="H2173"/>
  <c r="A2174"/>
  <c r="C2174"/>
  <c r="H2174"/>
  <c r="A2175"/>
  <c r="C2175"/>
  <c r="H2175"/>
  <c r="A2176"/>
  <c r="C2176"/>
  <c r="H2176"/>
  <c r="A2177"/>
  <c r="C2177"/>
  <c r="H2177"/>
  <c r="A2178"/>
  <c r="C2178"/>
  <c r="H2178"/>
  <c r="A2179"/>
  <c r="C2179"/>
  <c r="H2179"/>
  <c r="A2180"/>
  <c r="C2180"/>
  <c r="H2180"/>
  <c r="A2181"/>
  <c r="C2181"/>
  <c r="H2181"/>
  <c r="A2182"/>
  <c r="C2182"/>
  <c r="H2182"/>
  <c r="A2183"/>
  <c r="C2183"/>
  <c r="H2183"/>
  <c r="A2184"/>
  <c r="C2184"/>
  <c r="H2184"/>
  <c r="A2185"/>
  <c r="C2185"/>
  <c r="H2185"/>
  <c r="A2186"/>
  <c r="C2186"/>
  <c r="H2186"/>
  <c r="A2187"/>
  <c r="C2187"/>
  <c r="H2187"/>
  <c r="A2188"/>
  <c r="C2188"/>
  <c r="H2188"/>
  <c r="A2189"/>
  <c r="C2189"/>
  <c r="H2189"/>
  <c r="A2190"/>
  <c r="C2190"/>
  <c r="H2190"/>
  <c r="A2191"/>
  <c r="C2191"/>
  <c r="H2191"/>
  <c r="A2192"/>
  <c r="C2192"/>
  <c r="H2192"/>
  <c r="A2193"/>
  <c r="C2193"/>
  <c r="H2193"/>
  <c r="A2194"/>
  <c r="C2194"/>
  <c r="H2194"/>
  <c r="A2195"/>
  <c r="C2195"/>
  <c r="H2195"/>
  <c r="A2196"/>
  <c r="C2196"/>
  <c r="H2196"/>
  <c r="A2197"/>
  <c r="C2197"/>
  <c r="H2197"/>
  <c r="A2198"/>
  <c r="C2198"/>
  <c r="H2198"/>
  <c r="A2199"/>
  <c r="C2199"/>
  <c r="H2199"/>
  <c r="A2200"/>
  <c r="C2200"/>
  <c r="H2200"/>
  <c r="A2201"/>
  <c r="C2201"/>
  <c r="H2201"/>
  <c r="A2202"/>
  <c r="C2202"/>
  <c r="H2202"/>
  <c r="A2203"/>
  <c r="C2203"/>
  <c r="H2203"/>
  <c r="A2204"/>
  <c r="C2204"/>
  <c r="H2204"/>
  <c r="A2205"/>
  <c r="C2205"/>
  <c r="H2205"/>
  <c r="A2206"/>
  <c r="C2206"/>
  <c r="H2206"/>
  <c r="A2207"/>
  <c r="C2207"/>
  <c r="H2207"/>
  <c r="A2208"/>
  <c r="C2208"/>
  <c r="H2208"/>
  <c r="A2209"/>
  <c r="C2209"/>
  <c r="H2209"/>
  <c r="A2210"/>
  <c r="C2210"/>
  <c r="H2210"/>
  <c r="A2211"/>
  <c r="C2211"/>
  <c r="H2211"/>
  <c r="A2212"/>
  <c r="C2212"/>
  <c r="H2212"/>
  <c r="A2213"/>
  <c r="C2213"/>
  <c r="H2213"/>
  <c r="A2214"/>
  <c r="C2214"/>
  <c r="H2214"/>
  <c r="A2215"/>
  <c r="C2215"/>
  <c r="H2215"/>
  <c r="A2216"/>
  <c r="C2216"/>
  <c r="H2216"/>
  <c r="A2217"/>
  <c r="C2217"/>
  <c r="H2217"/>
  <c r="A2218"/>
  <c r="C2218"/>
  <c r="H2218"/>
  <c r="A2219"/>
  <c r="C2219"/>
  <c r="H2219"/>
  <c r="A2220"/>
  <c r="C2220"/>
  <c r="H2220"/>
  <c r="A2221"/>
  <c r="C2221"/>
  <c r="H2221"/>
  <c r="A2222"/>
  <c r="C2222"/>
  <c r="H2222"/>
  <c r="A2223"/>
  <c r="C2223"/>
  <c r="H2223"/>
  <c r="A2224"/>
  <c r="C2224"/>
  <c r="H2224"/>
  <c r="A2225"/>
  <c r="C2225"/>
  <c r="H2225"/>
  <c r="A2226"/>
  <c r="C2226"/>
  <c r="H2226"/>
  <c r="A2227"/>
  <c r="C2227"/>
  <c r="H2227"/>
  <c r="A2228"/>
  <c r="C2228"/>
  <c r="H2228"/>
  <c r="A2229"/>
  <c r="C2229"/>
  <c r="H2229"/>
  <c r="A2230"/>
  <c r="C2230"/>
  <c r="H2230"/>
  <c r="A2231"/>
  <c r="C2231"/>
  <c r="H2231"/>
  <c r="A2232"/>
  <c r="C2232"/>
  <c r="H2232"/>
  <c r="A2233"/>
  <c r="C2233"/>
  <c r="H2233"/>
  <c r="A2234"/>
  <c r="C2234"/>
  <c r="H2234"/>
  <c r="A2235"/>
  <c r="C2235"/>
  <c r="H2235"/>
  <c r="A2236"/>
  <c r="C2236"/>
  <c r="H2236"/>
  <c r="A2237"/>
  <c r="C2237"/>
  <c r="H2237"/>
  <c r="A2238"/>
  <c r="C2238"/>
  <c r="H2238"/>
  <c r="A2239"/>
  <c r="C2239"/>
  <c r="H2239"/>
  <c r="A2240"/>
  <c r="C2240"/>
  <c r="H2240"/>
  <c r="A2241"/>
  <c r="C2241"/>
  <c r="H2241"/>
  <c r="A2242"/>
  <c r="C2242"/>
  <c r="H2242"/>
  <c r="A2243"/>
  <c r="C2243"/>
  <c r="H2243"/>
  <c r="A2244"/>
  <c r="C2244"/>
  <c r="H2244"/>
  <c r="A2245"/>
  <c r="C2245"/>
  <c r="H2245"/>
  <c r="A2246"/>
  <c r="C2246"/>
  <c r="H2246"/>
  <c r="A2247"/>
  <c r="C2247"/>
  <c r="H2247"/>
  <c r="A2248"/>
  <c r="C2248"/>
  <c r="H2248"/>
  <c r="A2249"/>
  <c r="C2249"/>
  <c r="H2249"/>
  <c r="A2250"/>
  <c r="C2250"/>
  <c r="H2250"/>
  <c r="A2251"/>
  <c r="C2251"/>
  <c r="H2251"/>
  <c r="A2252"/>
  <c r="C2252"/>
  <c r="H2252"/>
  <c r="A2253"/>
  <c r="C2253"/>
  <c r="H2253"/>
  <c r="A2254"/>
  <c r="C2254"/>
  <c r="H2254"/>
  <c r="A2255"/>
  <c r="C2255"/>
  <c r="H2255"/>
  <c r="A2256"/>
  <c r="C2256"/>
  <c r="H2256"/>
  <c r="A2257"/>
  <c r="C2257"/>
  <c r="H2257"/>
  <c r="A2258"/>
  <c r="C2258"/>
  <c r="H2258"/>
  <c r="A2259"/>
  <c r="C2259"/>
  <c r="H2259"/>
  <c r="A2260"/>
  <c r="C2260"/>
  <c r="H2260"/>
  <c r="A2261"/>
  <c r="C2261"/>
  <c r="H2261"/>
  <c r="A2262"/>
  <c r="C2262"/>
  <c r="H2262"/>
  <c r="A2263"/>
  <c r="C2263"/>
  <c r="H2263"/>
  <c r="A2264"/>
  <c r="C2264"/>
  <c r="H2264"/>
  <c r="A2265"/>
  <c r="C2265"/>
  <c r="H2265"/>
  <c r="A2266"/>
  <c r="C2266"/>
  <c r="H2266"/>
  <c r="A2267"/>
  <c r="C2267"/>
  <c r="H2267"/>
  <c r="A2268"/>
  <c r="C2268"/>
  <c r="H2268"/>
  <c r="A2269"/>
  <c r="C2269"/>
  <c r="H2269"/>
  <c r="A2270"/>
  <c r="C2270"/>
  <c r="H2270"/>
  <c r="A2271"/>
  <c r="C2271"/>
  <c r="H2271"/>
  <c r="A2272"/>
  <c r="C2272"/>
  <c r="H2272"/>
  <c r="A2273"/>
  <c r="C2273"/>
  <c r="H2273"/>
  <c r="A2274"/>
  <c r="C2274"/>
  <c r="H2274"/>
  <c r="A2275"/>
  <c r="C2275"/>
  <c r="H2275"/>
  <c r="A2276"/>
  <c r="C2276"/>
  <c r="H2276"/>
  <c r="A2277"/>
  <c r="C2277"/>
  <c r="H2277"/>
  <c r="A2278"/>
  <c r="C2278"/>
  <c r="H2278"/>
  <c r="A2279"/>
  <c r="C2279"/>
  <c r="H2279"/>
  <c r="A2280"/>
  <c r="C2280"/>
  <c r="H2280"/>
  <c r="A2281"/>
  <c r="C2281"/>
  <c r="H2281"/>
  <c r="A2282"/>
  <c r="C2282"/>
  <c r="H2282"/>
  <c r="A2283"/>
  <c r="C2283"/>
  <c r="H2283"/>
  <c r="A2284"/>
  <c r="C2284"/>
  <c r="H2284"/>
  <c r="A2285"/>
  <c r="C2285"/>
  <c r="H2285"/>
  <c r="A2286"/>
  <c r="C2286"/>
  <c r="H2286"/>
  <c r="A2287"/>
  <c r="C2287"/>
  <c r="H2287"/>
  <c r="A2288"/>
  <c r="C2288"/>
  <c r="H2288"/>
  <c r="A2289"/>
  <c r="C2289"/>
  <c r="H2289"/>
  <c r="A2290"/>
  <c r="C2290"/>
  <c r="H2290"/>
  <c r="A2291"/>
  <c r="C2291"/>
  <c r="H2291"/>
  <c r="A2292"/>
  <c r="C2292"/>
  <c r="H2292"/>
  <c r="A2293"/>
  <c r="C2293"/>
  <c r="H2293"/>
  <c r="A2294"/>
  <c r="C2294"/>
  <c r="H2294"/>
  <c r="A2295"/>
  <c r="C2295"/>
  <c r="H2295"/>
  <c r="A2296"/>
  <c r="C2296"/>
  <c r="H2296"/>
  <c r="A2297"/>
  <c r="C2297"/>
  <c r="H2297"/>
  <c r="A2298"/>
  <c r="C2298"/>
  <c r="H2298"/>
  <c r="A2299"/>
  <c r="C2299"/>
  <c r="H2299"/>
  <c r="A2300"/>
  <c r="C2300"/>
  <c r="H2300"/>
  <c r="A2301"/>
  <c r="C2301"/>
  <c r="H2301"/>
  <c r="A2302"/>
  <c r="C2302"/>
  <c r="H2302"/>
  <c r="A2303"/>
  <c r="C2303"/>
  <c r="H2303"/>
  <c r="A2304"/>
  <c r="C2304"/>
  <c r="H2304"/>
  <c r="A2305"/>
  <c r="C2305"/>
  <c r="H2305"/>
  <c r="A2306"/>
  <c r="C2306"/>
  <c r="H2306"/>
  <c r="A2307"/>
  <c r="C2307"/>
  <c r="H2307"/>
  <c r="A2308"/>
  <c r="C2308"/>
  <c r="H2308"/>
  <c r="A2309"/>
  <c r="C2309"/>
  <c r="H2309"/>
  <c r="A2310"/>
  <c r="C2310"/>
  <c r="H2310"/>
  <c r="A2311"/>
  <c r="C2311"/>
  <c r="H2311"/>
  <c r="A2312"/>
  <c r="C2312"/>
  <c r="H2312"/>
  <c r="A2313"/>
  <c r="C2313"/>
  <c r="H2313"/>
  <c r="A2314"/>
  <c r="C2314"/>
  <c r="H2314"/>
  <c r="A2315"/>
  <c r="C2315"/>
  <c r="H2315"/>
  <c r="A2316"/>
  <c r="C2316"/>
  <c r="H2316"/>
  <c r="A2317"/>
  <c r="C2317"/>
  <c r="H2317"/>
  <c r="A2318"/>
  <c r="C2318"/>
  <c r="H2318"/>
  <c r="A2319"/>
  <c r="C2319"/>
  <c r="H2319"/>
  <c r="A2320"/>
  <c r="C2320"/>
  <c r="H2320"/>
  <c r="A2321"/>
  <c r="C2321"/>
  <c r="H2321"/>
  <c r="A2322"/>
  <c r="C2322"/>
  <c r="H2322"/>
  <c r="A2323"/>
  <c r="C2323"/>
  <c r="H2323"/>
  <c r="A2324"/>
  <c r="C2324"/>
  <c r="H2324"/>
  <c r="A2325"/>
  <c r="C2325"/>
  <c r="H2325"/>
  <c r="A2326"/>
  <c r="C2326"/>
  <c r="H2326"/>
  <c r="A2327"/>
  <c r="C2327"/>
  <c r="H2327"/>
  <c r="A2328"/>
  <c r="C2328"/>
  <c r="H2328"/>
  <c r="A2329"/>
  <c r="C2329"/>
  <c r="H2329"/>
  <c r="A2330"/>
  <c r="C2330"/>
  <c r="H2330"/>
  <c r="A2331"/>
  <c r="C2331"/>
  <c r="H2331"/>
  <c r="A2332"/>
  <c r="C2332"/>
  <c r="H2332"/>
  <c r="A2333"/>
  <c r="C2333"/>
  <c r="H2333"/>
  <c r="A2334"/>
  <c r="C2334"/>
  <c r="H2334"/>
  <c r="A2335"/>
  <c r="C2335"/>
  <c r="H2335"/>
  <c r="A2336"/>
  <c r="C2336"/>
  <c r="H2336"/>
  <c r="A2337"/>
  <c r="C2337"/>
  <c r="H2337"/>
  <c r="A2338"/>
  <c r="C2338"/>
  <c r="H2338"/>
  <c r="A2339"/>
  <c r="C2339"/>
  <c r="H2339"/>
  <c r="A2340"/>
  <c r="C2340"/>
  <c r="H2340"/>
  <c r="A2341"/>
  <c r="C2341"/>
  <c r="H2341"/>
  <c r="A2342"/>
  <c r="C2342"/>
  <c r="H2342"/>
  <c r="A2343"/>
  <c r="C2343"/>
  <c r="H2343"/>
  <c r="A2344"/>
  <c r="C2344"/>
  <c r="H2344"/>
  <c r="A2345"/>
  <c r="C2345"/>
  <c r="H2345"/>
  <c r="A2346"/>
  <c r="C2346"/>
  <c r="H2346"/>
  <c r="A2347"/>
  <c r="C2347"/>
  <c r="H2347"/>
  <c r="A2348"/>
  <c r="C2348"/>
  <c r="H2348"/>
  <c r="A2349"/>
  <c r="C2349"/>
  <c r="H2349"/>
  <c r="A2350"/>
  <c r="C2350"/>
  <c r="H2350"/>
  <c r="A2351"/>
  <c r="C2351"/>
  <c r="H2351"/>
  <c r="A2352"/>
  <c r="C2352"/>
  <c r="H2352"/>
  <c r="A2353"/>
  <c r="C2353"/>
  <c r="H2353"/>
  <c r="A2354"/>
  <c r="C2354"/>
  <c r="H2354"/>
  <c r="A2355"/>
  <c r="C2355"/>
  <c r="H2355"/>
  <c r="A2356"/>
  <c r="C2356"/>
  <c r="H2356"/>
  <c r="A2357"/>
  <c r="C2357"/>
  <c r="H2357"/>
  <c r="A2358"/>
  <c r="C2358"/>
  <c r="H2358"/>
  <c r="A2359"/>
  <c r="C2359"/>
  <c r="H2359"/>
  <c r="A2360"/>
  <c r="C2360"/>
  <c r="H2360"/>
  <c r="A2361"/>
  <c r="C2361"/>
  <c r="H2361"/>
  <c r="A2362"/>
  <c r="C2362"/>
  <c r="H2362"/>
  <c r="A2363"/>
  <c r="C2363"/>
  <c r="H2363"/>
  <c r="A2364"/>
  <c r="C2364"/>
  <c r="H2364"/>
  <c r="A2365"/>
  <c r="C2365"/>
  <c r="H2365"/>
  <c r="A2366"/>
  <c r="C2366"/>
  <c r="H2366"/>
  <c r="A2367"/>
  <c r="C2367"/>
  <c r="H2367"/>
  <c r="A2368"/>
  <c r="C2368"/>
  <c r="H2368"/>
  <c r="A2369"/>
  <c r="C2369"/>
  <c r="H2369"/>
  <c r="A2370"/>
  <c r="C2370"/>
  <c r="H2370"/>
  <c r="A2371"/>
  <c r="C2371"/>
  <c r="H2371"/>
  <c r="A2372"/>
  <c r="C2372"/>
  <c r="G2372"/>
  <c r="H2372"/>
  <c r="A2373"/>
  <c r="C2373"/>
  <c r="H2373"/>
  <c r="A2374"/>
  <c r="C2374"/>
  <c r="H2374"/>
  <c r="A2375"/>
  <c r="C2375"/>
  <c r="H2375"/>
  <c r="A2376"/>
  <c r="C2376"/>
  <c r="H2376"/>
  <c r="A2377"/>
  <c r="C2377"/>
  <c r="H2377"/>
  <c r="A2378"/>
  <c r="C2378"/>
  <c r="H2378"/>
  <c r="A2379"/>
  <c r="C2379"/>
  <c r="H2379"/>
  <c r="A2380"/>
  <c r="C2380"/>
  <c r="H2380"/>
  <c r="A2381"/>
  <c r="C2381"/>
  <c r="H2381"/>
  <c r="A2382"/>
  <c r="C2382"/>
  <c r="H2382"/>
  <c r="A2383"/>
  <c r="C2383"/>
  <c r="H2383"/>
  <c r="A2384"/>
  <c r="C2384"/>
  <c r="H2384"/>
  <c r="A2385"/>
  <c r="C2385"/>
  <c r="H2385"/>
  <c r="A2386"/>
  <c r="C2386"/>
  <c r="H2386"/>
  <c r="A2387"/>
  <c r="C2387"/>
  <c r="H2387"/>
  <c r="A2388"/>
  <c r="C2388"/>
  <c r="E2388"/>
  <c r="H2388"/>
  <c r="A2389"/>
  <c r="C2389"/>
  <c r="H2389"/>
  <c r="A2390"/>
  <c r="C2390"/>
  <c r="H2390"/>
  <c r="A2391"/>
  <c r="C2391"/>
  <c r="H2391"/>
  <c r="A2392"/>
  <c r="C2392"/>
  <c r="H2392"/>
  <c r="A2393"/>
  <c r="C2393"/>
  <c r="H2393"/>
  <c r="A2394"/>
  <c r="C2394"/>
  <c r="H2394"/>
  <c r="A2395"/>
  <c r="C2395"/>
  <c r="H2395"/>
  <c r="A2396"/>
  <c r="C2396"/>
  <c r="H2396"/>
  <c r="A2397"/>
  <c r="C2397"/>
  <c r="H2397"/>
  <c r="A2398"/>
  <c r="C2398"/>
  <c r="G2398"/>
  <c r="H2398"/>
  <c r="A2399"/>
  <c r="C2399"/>
  <c r="H2399"/>
  <c r="A2400"/>
  <c r="C2400"/>
  <c r="H2400"/>
  <c r="A2401"/>
  <c r="C2401"/>
  <c r="H2401"/>
  <c r="A2402"/>
  <c r="C2402"/>
  <c r="H2402"/>
  <c r="A2403"/>
  <c r="C2403"/>
  <c r="H2403"/>
  <c r="A2404"/>
  <c r="C2404"/>
  <c r="H2404"/>
  <c r="A2405"/>
  <c r="C2405"/>
  <c r="H2405"/>
  <c r="A2406"/>
  <c r="C2406"/>
  <c r="H2406"/>
  <c r="A2407"/>
  <c r="C2407"/>
  <c r="H2407"/>
  <c r="A2408"/>
  <c r="C2408"/>
  <c r="H2408"/>
  <c r="A2409"/>
  <c r="C2409"/>
  <c r="H2409"/>
  <c r="A2410"/>
  <c r="C2410"/>
  <c r="H2410"/>
  <c r="A2411"/>
  <c r="C2411"/>
  <c r="H2411"/>
  <c r="A2412"/>
  <c r="C2412"/>
  <c r="H2412"/>
  <c r="A2413"/>
  <c r="C2413"/>
  <c r="H2413"/>
  <c r="A2414"/>
  <c r="C2414"/>
  <c r="H2414"/>
  <c r="A2415"/>
  <c r="C2415"/>
  <c r="H2415"/>
  <c r="A2416"/>
  <c r="C2416"/>
  <c r="H2416"/>
  <c r="A2417"/>
  <c r="C2417"/>
  <c r="H2417"/>
  <c r="A2418"/>
  <c r="C2418"/>
  <c r="H2418"/>
  <c r="A2419"/>
  <c r="C2419"/>
  <c r="H2419"/>
  <c r="A2420"/>
  <c r="C2420"/>
  <c r="H2420"/>
  <c r="A2421"/>
  <c r="C2421"/>
  <c r="H2421"/>
  <c r="A2422"/>
  <c r="C2422"/>
  <c r="H2422"/>
  <c r="A2423"/>
  <c r="C2423"/>
  <c r="H2423"/>
  <c r="A2424"/>
  <c r="C2424"/>
  <c r="H2424"/>
  <c r="A2425"/>
  <c r="C2425"/>
  <c r="H2425"/>
  <c r="A2426"/>
  <c r="C2426"/>
  <c r="H2426"/>
  <c r="A2427"/>
  <c r="C2427"/>
  <c r="H2427"/>
  <c r="A2428"/>
  <c r="C2428"/>
  <c r="H2428"/>
  <c r="A2429"/>
  <c r="C2429"/>
  <c r="H2429"/>
  <c r="A2430"/>
  <c r="C2430"/>
  <c r="H2430"/>
  <c r="A2431"/>
  <c r="C2431"/>
  <c r="H2431"/>
  <c r="A2432"/>
  <c r="C2432"/>
  <c r="H2432"/>
  <c r="A2433"/>
  <c r="C2433"/>
  <c r="H2433"/>
  <c r="A2434"/>
  <c r="C2434"/>
  <c r="H2434"/>
  <c r="A2435"/>
  <c r="C2435"/>
  <c r="H2435"/>
  <c r="A2436"/>
  <c r="C2436"/>
  <c r="H2436"/>
  <c r="A2437"/>
  <c r="C2437"/>
  <c r="H2437"/>
  <c r="A2438"/>
  <c r="C2438"/>
  <c r="H2438"/>
  <c r="A2439"/>
  <c r="C2439"/>
  <c r="H2439"/>
  <c r="A2440"/>
  <c r="C2440"/>
  <c r="H2440"/>
  <c r="A2441"/>
  <c r="C2441"/>
  <c r="H2441"/>
  <c r="A2442"/>
  <c r="C2442"/>
  <c r="H2442"/>
  <c r="A2443"/>
  <c r="C2443"/>
  <c r="H2443"/>
  <c r="A2444"/>
  <c r="C2444"/>
  <c r="H2444"/>
  <c r="A2445"/>
  <c r="C2445"/>
  <c r="H2445"/>
  <c r="A2446"/>
  <c r="C2446"/>
  <c r="H2446"/>
  <c r="A2447"/>
  <c r="C2447"/>
  <c r="H2447"/>
  <c r="A2448"/>
  <c r="C2448"/>
  <c r="H2448"/>
  <c r="A2449"/>
  <c r="C2449"/>
  <c r="H2449"/>
  <c r="A2450"/>
  <c r="C2450"/>
  <c r="H2450"/>
  <c r="A2451"/>
  <c r="C2451"/>
  <c r="H2451"/>
  <c r="A2452"/>
  <c r="C2452"/>
  <c r="H2452"/>
  <c r="A2453"/>
  <c r="C2453"/>
  <c r="H2453"/>
  <c r="A2454"/>
  <c r="C2454"/>
  <c r="H2454"/>
  <c r="A2455"/>
  <c r="C2455"/>
  <c r="H2455"/>
  <c r="A2456"/>
  <c r="C2456"/>
  <c r="H2456"/>
  <c r="A2457"/>
  <c r="C2457"/>
  <c r="H2457"/>
  <c r="A2458"/>
  <c r="C2458"/>
  <c r="H2458"/>
  <c r="A2459"/>
  <c r="C2459"/>
  <c r="H2459"/>
  <c r="A2460"/>
  <c r="C2460"/>
  <c r="H2460"/>
  <c r="A2461"/>
  <c r="C2461"/>
  <c r="H2461"/>
  <c r="A2462"/>
  <c r="C2462"/>
  <c r="H2462"/>
  <c r="A2463"/>
  <c r="C2463"/>
  <c r="H2463"/>
  <c r="A2464"/>
  <c r="C2464"/>
  <c r="H2464"/>
  <c r="A2465"/>
  <c r="C2465"/>
  <c r="H2465"/>
  <c r="A2466"/>
  <c r="C2466"/>
  <c r="H2466"/>
  <c r="A2467"/>
  <c r="C2467"/>
  <c r="H2467"/>
  <c r="A2468"/>
  <c r="C2468"/>
  <c r="H2468"/>
  <c r="A2469"/>
  <c r="C2469"/>
  <c r="H2469"/>
  <c r="A2470"/>
  <c r="C2470"/>
  <c r="H2470"/>
  <c r="A2471"/>
  <c r="C2471"/>
  <c r="H2471"/>
  <c r="A2472"/>
  <c r="C2472"/>
  <c r="H2472"/>
  <c r="A2473"/>
  <c r="C2473"/>
  <c r="H2473"/>
  <c r="A2474"/>
  <c r="C2474"/>
  <c r="H2474"/>
  <c r="A2475"/>
  <c r="C2475"/>
  <c r="H2475"/>
  <c r="A2476"/>
  <c r="C2476"/>
  <c r="H2476"/>
  <c r="A2477"/>
  <c r="C2477"/>
  <c r="H2477"/>
  <c r="A2478"/>
  <c r="C2478"/>
  <c r="H2478"/>
  <c r="A2479"/>
  <c r="C2479"/>
  <c r="H2479"/>
  <c r="A2480"/>
  <c r="C2480"/>
  <c r="H2480"/>
  <c r="A2481"/>
  <c r="C2481"/>
  <c r="H2481"/>
  <c r="A2482"/>
  <c r="C2482"/>
  <c r="H2482"/>
  <c r="A2483"/>
  <c r="C2483"/>
  <c r="H2483"/>
  <c r="A2484"/>
  <c r="C2484"/>
  <c r="H2484"/>
  <c r="A2485"/>
  <c r="C2485"/>
  <c r="H2485"/>
  <c r="A2486"/>
  <c r="C2486"/>
  <c r="H2486"/>
  <c r="A2487"/>
  <c r="C2487"/>
  <c r="H2487"/>
  <c r="A2488"/>
  <c r="C2488"/>
  <c r="H2488"/>
  <c r="A2489"/>
  <c r="C2489"/>
  <c r="H2489"/>
  <c r="A2490"/>
  <c r="C2490"/>
  <c r="H2490"/>
  <c r="A2491"/>
  <c r="C2491"/>
  <c r="H2491"/>
  <c r="A2492"/>
  <c r="C2492"/>
  <c r="H2492"/>
  <c r="A2493"/>
  <c r="C2493"/>
  <c r="H2493"/>
  <c r="A2494"/>
  <c r="C2494"/>
  <c r="H2494"/>
  <c r="A2495"/>
  <c r="C2495"/>
  <c r="H2495"/>
  <c r="A2496"/>
  <c r="C2496"/>
  <c r="H2496"/>
  <c r="A2497"/>
  <c r="C2497"/>
  <c r="H2497"/>
  <c r="A2498"/>
  <c r="C2498"/>
  <c r="H2498"/>
  <c r="A2499"/>
  <c r="C2499"/>
  <c r="H2499"/>
  <c r="A2500"/>
  <c r="C2500"/>
  <c r="H2500"/>
  <c r="A2501"/>
  <c r="C2501"/>
  <c r="H2501"/>
  <c r="A2502"/>
  <c r="C2502"/>
  <c r="H2502"/>
  <c r="A2503"/>
  <c r="C2503"/>
  <c r="H2503"/>
  <c r="A2504"/>
  <c r="C2504"/>
  <c r="H2504"/>
  <c r="A2505"/>
  <c r="C2505"/>
  <c r="H2505"/>
  <c r="A2506"/>
  <c r="C2506"/>
  <c r="H2506"/>
  <c r="A2507"/>
  <c r="C2507"/>
  <c r="H2507"/>
  <c r="A2508"/>
  <c r="C2508"/>
  <c r="H2508"/>
  <c r="A2509"/>
  <c r="C2509"/>
  <c r="H2509"/>
  <c r="A2510"/>
  <c r="C2510"/>
  <c r="H2510"/>
  <c r="A2511"/>
  <c r="C2511"/>
  <c r="H2511"/>
  <c r="A2512"/>
  <c r="C2512"/>
  <c r="A2513"/>
  <c r="C2513"/>
  <c r="A2514"/>
  <c r="C2514"/>
  <c r="H2514"/>
  <c r="A2515"/>
  <c r="C2515"/>
  <c r="H2515"/>
  <c r="A2516"/>
  <c r="C2516"/>
  <c r="A2517"/>
  <c r="C2517"/>
  <c r="H2517"/>
  <c r="A2518"/>
  <c r="C2518"/>
  <c r="A2519"/>
  <c r="C2519"/>
  <c r="H2519"/>
  <c r="A2520"/>
  <c r="C2520"/>
  <c r="A2521"/>
  <c r="C2521"/>
  <c r="A2522"/>
  <c r="C2522"/>
  <c r="H2522"/>
  <c r="A2523"/>
  <c r="C2523"/>
  <c r="H2523"/>
  <c r="A2524"/>
  <c r="C2524"/>
  <c r="H2524"/>
  <c r="A2525"/>
  <c r="C2525"/>
  <c r="H2525"/>
  <c r="A2526"/>
  <c r="C2526"/>
  <c r="A2527"/>
  <c r="C2527"/>
  <c r="A2528"/>
  <c r="C2528"/>
  <c r="A2529"/>
  <c r="C2529"/>
  <c r="A2530"/>
  <c r="C2530"/>
  <c r="H2530"/>
  <c r="A2531"/>
  <c r="C2531"/>
  <c r="A2532"/>
  <c r="C2532"/>
  <c r="A2533"/>
  <c r="C2533"/>
  <c r="H2533"/>
  <c r="A2534"/>
  <c r="C2534"/>
  <c r="H2534"/>
  <c r="A2535"/>
  <c r="C2535"/>
  <c r="H2535"/>
  <c r="A2536"/>
  <c r="C2536"/>
  <c r="A2537"/>
  <c r="C2537"/>
  <c r="A2538"/>
  <c r="C2538"/>
  <c r="A2539"/>
  <c r="C2539"/>
  <c r="H2539"/>
  <c r="A2540"/>
  <c r="C2540"/>
  <c r="H2540"/>
  <c r="A2541"/>
  <c r="C2541"/>
  <c r="H2541"/>
  <c r="A2542"/>
  <c r="C2542"/>
  <c r="H2542"/>
  <c r="A2543"/>
  <c r="C2543"/>
  <c r="H2543"/>
  <c r="A2544"/>
  <c r="C2544"/>
  <c r="H2544"/>
  <c r="A2545"/>
  <c r="C2545"/>
  <c r="H2545"/>
  <c r="A2546"/>
  <c r="C2546"/>
  <c r="A2547"/>
  <c r="C2547"/>
  <c r="A2548"/>
  <c r="C2548"/>
  <c r="H2548"/>
  <c r="A2549"/>
  <c r="C2549"/>
  <c r="H2549"/>
  <c r="A2550"/>
  <c r="C2550"/>
  <c r="H2550"/>
  <c r="A2551"/>
  <c r="C2551"/>
  <c r="H2551"/>
  <c r="A2552"/>
  <c r="C2552"/>
  <c r="H2552"/>
  <c r="A2553"/>
  <c r="C2553"/>
  <c r="H2553"/>
  <c r="A2554"/>
  <c r="C2554"/>
  <c r="H2554"/>
  <c r="A2555"/>
  <c r="C2555"/>
  <c r="H2555"/>
  <c r="A2556"/>
  <c r="C2556"/>
  <c r="H2556"/>
  <c r="A2557"/>
  <c r="C2557"/>
  <c r="H2557"/>
  <c r="A2558"/>
  <c r="C2558"/>
  <c r="H2558"/>
  <c r="A2559"/>
  <c r="C2559"/>
  <c r="A2560"/>
  <c r="C2560"/>
  <c r="H2560"/>
  <c r="A2561"/>
  <c r="C2561"/>
  <c r="H2561"/>
  <c r="A2562"/>
  <c r="C2562"/>
  <c r="H2562"/>
  <c r="A2563"/>
  <c r="C2563"/>
  <c r="H2563"/>
  <c r="A2564"/>
  <c r="C2564"/>
  <c r="H2564"/>
  <c r="A2565"/>
  <c r="C2565"/>
  <c r="H2565"/>
  <c r="A2566"/>
  <c r="C2566"/>
  <c r="H2566"/>
  <c r="A2567"/>
  <c r="C2567"/>
  <c r="A2568"/>
  <c r="C2568"/>
  <c r="H2568"/>
  <c r="A2569"/>
  <c r="C2569"/>
  <c r="E2569"/>
  <c r="H2569"/>
  <c r="A2570"/>
  <c r="C2570"/>
  <c r="A2571"/>
  <c r="C2571"/>
  <c r="A2572"/>
  <c r="C2572"/>
  <c r="H2572"/>
  <c r="A2573"/>
  <c r="C2573"/>
  <c r="H2573"/>
  <c r="A2574"/>
  <c r="C2574"/>
  <c r="H2574"/>
  <c r="A2575"/>
  <c r="C2575"/>
  <c r="H2575"/>
  <c r="A2576"/>
  <c r="C2576"/>
  <c r="H2576"/>
  <c r="A2577"/>
  <c r="C2577"/>
  <c r="H2577"/>
  <c r="A2578"/>
  <c r="C2578"/>
  <c r="H2578"/>
  <c r="A2579"/>
  <c r="C2579"/>
  <c r="H2579"/>
  <c r="A2580"/>
  <c r="C2580"/>
  <c r="H2580"/>
  <c r="A2581"/>
  <c r="C2581"/>
  <c r="H2581"/>
  <c r="A2582"/>
  <c r="C2582"/>
  <c r="H2582"/>
  <c r="A2583"/>
  <c r="C2583"/>
  <c r="H2583"/>
  <c r="A2584"/>
  <c r="C2584"/>
  <c r="H2584"/>
  <c r="A2585"/>
  <c r="C2585"/>
  <c r="H2585"/>
  <c r="A2586"/>
  <c r="C2586"/>
  <c r="H2586"/>
  <c r="A2587"/>
  <c r="C2587"/>
  <c r="H2587"/>
  <c r="A2588"/>
  <c r="C2588"/>
  <c r="H2588"/>
  <c r="A2589"/>
  <c r="C2589"/>
  <c r="H2589"/>
  <c r="A2590"/>
  <c r="C2590"/>
  <c r="H2590"/>
  <c r="A2591"/>
  <c r="C2591"/>
  <c r="H2591"/>
  <c r="A2592"/>
  <c r="C2592"/>
  <c r="H2592"/>
  <c r="A2593"/>
  <c r="C2593"/>
  <c r="H2593"/>
  <c r="A2594"/>
  <c r="C2594"/>
  <c r="H2594"/>
  <c r="A2595"/>
  <c r="C2595"/>
  <c r="H2595"/>
  <c r="A2596"/>
  <c r="C2596"/>
  <c r="H2596"/>
  <c r="A2597"/>
  <c r="C2597"/>
  <c r="H2597"/>
</calcChain>
</file>

<file path=xl/sharedStrings.xml><?xml version="1.0" encoding="utf-8"?>
<sst xmlns="http://schemas.openxmlformats.org/spreadsheetml/2006/main" count="18146" uniqueCount="8455">
  <si>
    <t>정리상태</t>
  </si>
  <si>
    <t>책  수(전체)</t>
  </si>
  <si>
    <t>시작등록번호</t>
  </si>
  <si>
    <t>서명</t>
  </si>
  <si>
    <t>저작자</t>
  </si>
  <si>
    <t>발행자</t>
  </si>
  <si>
    <t>발행년</t>
  </si>
  <si>
    <t>형식구분</t>
  </si>
  <si>
    <t>매체구분</t>
  </si>
  <si>
    <t>정리됨</t>
  </si>
  <si>
    <t>JD0000022584</t>
  </si>
  <si>
    <t>(정민 선생님이 들려주는) 고전 독서법</t>
  </si>
  <si>
    <t>정민 지음</t>
  </si>
  <si>
    <t>보림</t>
  </si>
  <si>
    <t>BK</t>
  </si>
  <si>
    <t>PR</t>
  </si>
  <si>
    <t>JD0000022585</t>
  </si>
  <si>
    <t>이어령의 교과서 넘나들기. 11, 춤편-한 눈에 보는 춤 이야기</t>
  </si>
  <si>
    <t>이어령 콘텐츠크리에이터;제환정 글;김강섭 그림</t>
  </si>
  <si>
    <t>살림</t>
  </si>
  <si>
    <t>JD0000022586</t>
  </si>
  <si>
    <t>이어령의 교과서 넘나들기. 12, 의학편-의학 발전을 이끈 위대한 실험과 도전</t>
  </si>
  <si>
    <t>이어령 콘텐츠크리에이터;예병일 글;홍소진 그림</t>
  </si>
  <si>
    <t>JD0000022587</t>
  </si>
  <si>
    <t>이어령의 교과서 넘나들기. 13, 국제관계편-지구촌 시대를 살아가는 지혜</t>
  </si>
  <si>
    <t>이어령 콘텐츠크리에이터;손기화 글;이세경 그림</t>
  </si>
  <si>
    <t>JD0000022588</t>
  </si>
  <si>
    <t>이어령의 교과서 넘나들기. 14, 수학편-수학적 사고력을 키우는 수학 이야기</t>
  </si>
  <si>
    <t>이어령 콘텐츠크리에이터;이광연 글;남기영 그림</t>
  </si>
  <si>
    <t>JD0000022589</t>
  </si>
  <si>
    <t>이어령의 교과서 넘나들기. 15, 환경편-지구의 미래를 위한 환경 보고서</t>
  </si>
  <si>
    <t>이어령 콘텐츠크리에이터;곽임정난 글;조진옥 그림</t>
  </si>
  <si>
    <t>JD0000022590</t>
  </si>
  <si>
    <t>찌릿찌릿 경제</t>
  </si>
  <si>
    <t>유혜정 글;주형근 그림</t>
  </si>
  <si>
    <t>소담주니어:꿈소담이</t>
  </si>
  <si>
    <t>JD0000022591</t>
  </si>
  <si>
    <t>찌릿찌릿 지구</t>
  </si>
  <si>
    <t>노지영 글;이동현 그림</t>
  </si>
  <si>
    <t>JD0000022592</t>
  </si>
  <si>
    <t>찌릿찌릿 맞춤법</t>
  </si>
  <si>
    <t>우연정 글;이국현 그림</t>
  </si>
  <si>
    <t>JD0000022593</t>
  </si>
  <si>
    <t>찌릿찌릿 우주</t>
  </si>
  <si>
    <t>김용란 글;박정제 그림</t>
  </si>
  <si>
    <t>JD0000022594</t>
  </si>
  <si>
    <t>찌릿찌릿 문화재</t>
  </si>
  <si>
    <t>정민지 글;이동현 그림</t>
  </si>
  <si>
    <t>JD0000022595</t>
  </si>
  <si>
    <t>찌릿찌릿 동물</t>
  </si>
  <si>
    <t>정우진 글;김창호 그림</t>
  </si>
  <si>
    <t>JD0000022596</t>
  </si>
  <si>
    <t>종이는 힘이 세다!</t>
  </si>
  <si>
    <t>남궁담 글;심창국 그림</t>
  </si>
  <si>
    <t>현암사</t>
  </si>
  <si>
    <t>JD0000022597</t>
  </si>
  <si>
    <t>앗, 깜깜해</t>
  </si>
  <si>
    <t>존 로코 지음;김서정 옮김</t>
  </si>
  <si>
    <t>다림</t>
  </si>
  <si>
    <t>JD0000022598</t>
  </si>
  <si>
    <t>할머니는 어디로 갔을까</t>
  </si>
  <si>
    <t>아르노 알메라 글;로뱅 그림;이충호 옮김</t>
  </si>
  <si>
    <t>두레아이들</t>
  </si>
  <si>
    <t>JD0000022599</t>
  </si>
  <si>
    <t>(마리아의) 소풍</t>
  </si>
  <si>
    <t>아나 오비올스 글;수비 그림;김경미 옮김</t>
  </si>
  <si>
    <t>드림피그</t>
  </si>
  <si>
    <t>JD0000022600</t>
  </si>
  <si>
    <t>난 네가 부러워</t>
  </si>
  <si>
    <t>김영민 글·그림</t>
  </si>
  <si>
    <t>뜨인돌어린이</t>
  </si>
  <si>
    <t>JD0000022601</t>
  </si>
  <si>
    <t>줄무늬면 어때!</t>
  </si>
  <si>
    <t>백미숙 글;선영란 그림</t>
  </si>
  <si>
    <t>리틀씨앤톡</t>
  </si>
  <si>
    <t>JD0000022602</t>
  </si>
  <si>
    <t>목 짧는 기린 지피</t>
  </si>
  <si>
    <t>고정욱 글;박재현 그림</t>
  </si>
  <si>
    <t>맹＆앵</t>
  </si>
  <si>
    <t>JD0000022603</t>
  </si>
  <si>
    <t>진짜 친구</t>
  </si>
  <si>
    <t>구스노키 시게노리 글;후쿠다 이와오 그림;고향옥 옮김</t>
  </si>
  <si>
    <t>베틀북</t>
  </si>
  <si>
    <t>JD0000022604</t>
  </si>
  <si>
    <t>나는 다 믿어요</t>
  </si>
  <si>
    <t>박문희 엮음</t>
  </si>
  <si>
    <t>보리</t>
  </si>
  <si>
    <t>JD0000022605</t>
  </si>
  <si>
    <t>난 때리는 손 없어</t>
  </si>
  <si>
    <t>JD0000022606</t>
  </si>
  <si>
    <t>엉덩이에 뿔 안 나드라요</t>
  </si>
  <si>
    <t>JD0000022607</t>
  </si>
  <si>
    <t>동물의 저승사자</t>
  </si>
  <si>
    <t>김은희 글;이경화 그림</t>
  </si>
  <si>
    <t>부즈펌어린이</t>
  </si>
  <si>
    <t>JD0000022608</t>
  </si>
  <si>
    <t>발가락 사이 쑤시기는 정말 재밌어!</t>
  </si>
  <si>
    <t>윤정 글;오은정 그림</t>
  </si>
  <si>
    <t>루크하우스</t>
  </si>
  <si>
    <t>JD0000022609</t>
  </si>
  <si>
    <t>괜찮아, 이제 걱정하지 마 : 엄마가 쓴 어린이를 위한 심리 치료 편지</t>
  </si>
  <si>
    <t>강선영 글;장원선 그림</t>
  </si>
  <si>
    <t>생각을담는어린이</t>
  </si>
  <si>
    <t>JD0000022610</t>
  </si>
  <si>
    <t>내 사랑 도토리</t>
  </si>
  <si>
    <t>고성욱 글;김미은 그림</t>
  </si>
  <si>
    <t>소담주니어;꿈소담이</t>
  </si>
  <si>
    <t>JD0000022611</t>
  </si>
  <si>
    <t>소녀와 도깨비</t>
  </si>
  <si>
    <t>닐 이라니 글;박윤 그림;유혜경 옮김</t>
  </si>
  <si>
    <t>아롬주니어</t>
  </si>
  <si>
    <t>JD0000022612</t>
  </si>
  <si>
    <t>(십대들을 위한 인성교과서) 태도</t>
  </si>
  <si>
    <t>줄리 데이비 글·그림;박선영 옮김</t>
  </si>
  <si>
    <t>아름다운사람들</t>
  </si>
  <si>
    <t>JD0000022613</t>
  </si>
  <si>
    <t>엄마, 어디 있어요?</t>
  </si>
  <si>
    <t>허은순 글;박정완 그림</t>
  </si>
  <si>
    <t>은나팔</t>
  </si>
  <si>
    <t>JD0000022614</t>
  </si>
  <si>
    <t>너는 사랑이란다</t>
  </si>
  <si>
    <t>우수명 글;최정인 그림</t>
  </si>
  <si>
    <t>이야기 상자</t>
  </si>
  <si>
    <t>JD0000022615</t>
  </si>
  <si>
    <t>나는 꿈 같은 거 없는데</t>
  </si>
  <si>
    <t>김이연 지음;권혁주 그림</t>
  </si>
  <si>
    <t>정글짐북스</t>
  </si>
  <si>
    <t>JD0000022616</t>
  </si>
  <si>
    <t>여름 캠프에서 무슨 일이?</t>
  </si>
  <si>
    <t>고정욱 글;이광익 그림;오지섭 도움글</t>
  </si>
  <si>
    <t>주니어김영사</t>
  </si>
  <si>
    <t>JD0000022617</t>
  </si>
  <si>
    <t>왜 차별하면 안 되나요?</t>
  </si>
  <si>
    <t>조지혜 지음;천필연 그림</t>
  </si>
  <si>
    <t>참돌어린이</t>
  </si>
  <si>
    <t>JD0000022618</t>
  </si>
  <si>
    <t>엄마,생각고래가 왔어요!</t>
  </si>
  <si>
    <t>최현룡 지음</t>
  </si>
  <si>
    <t>청년사</t>
  </si>
  <si>
    <t>JD0000022619</t>
  </si>
  <si>
    <t>찰리가 엄마한테 혼날 땐?</t>
  </si>
  <si>
    <t>해리엇 지퍼트 글;바루 그림;홍연미 옮김</t>
  </si>
  <si>
    <t>키움</t>
  </si>
  <si>
    <t>JD0000022620</t>
  </si>
  <si>
    <t>삶과 죽음에 대한 커다란 책</t>
  </si>
  <si>
    <t>실비 보시에 글;상드라 푸아로 셰리프 그림;배형은 옮김</t>
  </si>
  <si>
    <t>톡</t>
  </si>
  <si>
    <t>JD0000022621</t>
  </si>
  <si>
    <t>손자병법. 1, 싸움의 기술</t>
  </si>
  <si>
    <t>이정문 글·그림</t>
  </si>
  <si>
    <t>파랑새</t>
  </si>
  <si>
    <t>JD0000022622</t>
  </si>
  <si>
    <t>손자병법. 2, 이기는 지혜</t>
  </si>
  <si>
    <t>JD0000022623</t>
  </si>
  <si>
    <t>공기가 생겼대</t>
  </si>
  <si>
    <t>장 뒤프라 글;넬리 블루망탈 그림;조정훈 옮김</t>
  </si>
  <si>
    <t>키즈엠</t>
  </si>
  <si>
    <t>JD0000022624</t>
  </si>
  <si>
    <t>꿈을 꼭 가져야 하나요?</t>
  </si>
  <si>
    <t>어린이철학교육연구소 글;권오준 말풍선그림;박지연;이윤희 [공]이야기그림</t>
  </si>
  <si>
    <t>한림</t>
  </si>
  <si>
    <t>JD0000022625</t>
  </si>
  <si>
    <t>우리 신화 한바퀴</t>
  </si>
  <si>
    <t>김서영 글;이동철 그림</t>
  </si>
  <si>
    <t>계림북스</t>
  </si>
  <si>
    <t>JD0000022626</t>
  </si>
  <si>
    <t>(저학년을 위한) 직업책</t>
  </si>
  <si>
    <t>뿌리와 문화 체험 교실 글;윤유리 그림</t>
  </si>
  <si>
    <t>JD0000022627</t>
  </si>
  <si>
    <t>(어린이) 꿈발전소. 1, 방송국</t>
  </si>
  <si>
    <t>김승렬 글;배광선 그림</t>
  </si>
  <si>
    <t>국일아이</t>
  </si>
  <si>
    <t>JD0000022628</t>
  </si>
  <si>
    <t>(어린이) 꿈발전소. 2, 법원</t>
  </si>
  <si>
    <t>JD0000022629</t>
  </si>
  <si>
    <t>(어린이) 꿈발전소. 3, 공항</t>
  </si>
  <si>
    <t>신흥희 지음;정종석 그림</t>
  </si>
  <si>
    <t>JD0000022630</t>
  </si>
  <si>
    <t>(어린이) 꿈발전소. 4, 태릉선수촌</t>
  </si>
  <si>
    <t>박선희 글;동방광석 그림</t>
  </si>
  <si>
    <t>JD0000022631</t>
  </si>
  <si>
    <t>(어린이) 꿈발전소. 5, 병원</t>
  </si>
  <si>
    <t>배경희 지음;문인호 그림</t>
  </si>
  <si>
    <t>JD0000022632</t>
  </si>
  <si>
    <t>(어린이) 꿈발전소. 6, 연예기획사</t>
  </si>
  <si>
    <t>백명희;신승희 [공]글;조은실 그림</t>
  </si>
  <si>
    <t>JD0000022633</t>
  </si>
  <si>
    <t>(어린이) 꿈발전소. 7, 나사(NASA)</t>
  </si>
  <si>
    <t>Team.신화 글·그림</t>
  </si>
  <si>
    <t>JD0000022634</t>
  </si>
  <si>
    <t>(어린이) 꿈발전소. 8, 경찰서</t>
  </si>
  <si>
    <t>배경희 글;정종석 그림</t>
  </si>
  <si>
    <t>JD0000022635</t>
  </si>
  <si>
    <t>(어린이) 꿈발전소. 9, 자동차 회사</t>
  </si>
  <si>
    <t>박연아 글;안중걸 그림</t>
  </si>
  <si>
    <t>JD0000022636</t>
  </si>
  <si>
    <t>(어린이) 꿈발전소. 10, 국회</t>
  </si>
  <si>
    <t>신승희 글;문인호 그림</t>
  </si>
  <si>
    <t>JD0000022637</t>
  </si>
  <si>
    <t>(어린이) 꿈발전소. 11, 그린피스</t>
  </si>
  <si>
    <t>박성진 글;안중걸 그림</t>
  </si>
  <si>
    <t>JD0000022638</t>
  </si>
  <si>
    <t>(어린이) 꿈발전소. 12, 여행사</t>
  </si>
  <si>
    <t>배경희 글;안중걸 그림</t>
  </si>
  <si>
    <t>JD0000022639</t>
  </si>
  <si>
    <t>(어린이) 꿈발전소. 13, 박물관</t>
  </si>
  <si>
    <t>박연아 글;이종원 그림</t>
  </si>
  <si>
    <t>JD0000022640</t>
  </si>
  <si>
    <t>(어린이) 꿈발전소. 14, 금융 회사</t>
  </si>
  <si>
    <t>김원식 글;최병국 그림</t>
  </si>
  <si>
    <t>JD0000022641</t>
  </si>
  <si>
    <t>(어린이) 꿈발전소. 15, 건축설계사무소</t>
  </si>
  <si>
    <t>JD0000022642</t>
  </si>
  <si>
    <t>(어린이) 꿈발전소. 16, 영화사</t>
  </si>
  <si>
    <t>JD0000022643</t>
  </si>
  <si>
    <t>(어린이) 꿈발전소. 17, 신문사</t>
  </si>
  <si>
    <t>김원식 글;박경권 그림</t>
  </si>
  <si>
    <t>JD0000022644</t>
  </si>
  <si>
    <t>(어린이) 꿈발전소. 18, 국립과학수사연구원</t>
  </si>
  <si>
    <t>박연아 글;문평윤 그림</t>
  </si>
  <si>
    <t>JD0000022645</t>
  </si>
  <si>
    <t>(어린이) 꿈발전소. 19, 의류회사</t>
  </si>
  <si>
    <t>김원식 글;해밀 그림</t>
  </si>
  <si>
    <t>JD0000022646</t>
  </si>
  <si>
    <t>(미래탐험) 꿈발전소. 20, 게임회사</t>
  </si>
  <si>
    <t>JD0000022647</t>
  </si>
  <si>
    <t>(미래탐험) 꿈발전소. 21, 기상청</t>
  </si>
  <si>
    <t>JD0000022648</t>
  </si>
  <si>
    <t>(미래탐험) 꿈발전소. 22, 리조트 호텔</t>
  </si>
  <si>
    <t>JD0000022649</t>
  </si>
  <si>
    <t>(미래탐험) 꿈발전소. 23, 테마파크</t>
  </si>
  <si>
    <t>정범수 글·그림</t>
  </si>
  <si>
    <t>JD0000022650</t>
  </si>
  <si>
    <t>(미래탐험) 꿈발전소. 24, 소방서</t>
  </si>
  <si>
    <t>손종근 글·그림</t>
  </si>
  <si>
    <t>JD0000022651</t>
  </si>
  <si>
    <t>(미래탐험) 꿈발전소. 25, 시청</t>
  </si>
  <si>
    <t>안광현 글·그림</t>
  </si>
  <si>
    <t>JD0000022652</t>
  </si>
  <si>
    <t>(미래탐험) 꿈발전소. 26, 유엔(UN)</t>
  </si>
  <si>
    <t>김승렬 글;김정진 그림</t>
  </si>
  <si>
    <t>JD0000022653</t>
  </si>
  <si>
    <t>(미래탐험) 꿈발전소. 27, 대덕연구개발특구</t>
  </si>
  <si>
    <t>김원식 글;정범수 그림</t>
  </si>
  <si>
    <t>JD0000022654</t>
  </si>
  <si>
    <t>(미래탐험) 꿈발전소. 28, 포털 사이트</t>
  </si>
  <si>
    <t>JD0000022655</t>
  </si>
  <si>
    <t>(미래탐험) 꿈발전소. 29, 출판사</t>
  </si>
  <si>
    <t>JD0000022656</t>
  </si>
  <si>
    <t>(미래탐험) 꿈발전소. 30, 광고회사</t>
  </si>
  <si>
    <t>JD0000022657</t>
  </si>
  <si>
    <t>공부법을 알려 주마 : 공부천재 정약용 따라하기</t>
  </si>
  <si>
    <t>명로진 글;이우일 그림</t>
  </si>
  <si>
    <t>글로연</t>
  </si>
  <si>
    <t>JD0000022658</t>
  </si>
  <si>
    <t>목장으로 놀러와!</t>
  </si>
  <si>
    <t>김미혜 글;김전진 그림</t>
  </si>
  <si>
    <t>기탄교육</t>
  </si>
  <si>
    <t>JD0000022659</t>
  </si>
  <si>
    <t>변신 모자 써 볼까?</t>
  </si>
  <si>
    <t>홍윤희 글;김미규 그림</t>
  </si>
  <si>
    <t>JD0000022660</t>
  </si>
  <si>
    <t>삐뽀삐뽀 도와주세요</t>
  </si>
  <si>
    <t>박은정 글;박정섭 그림</t>
  </si>
  <si>
    <t>JD0000022661</t>
  </si>
  <si>
    <t>시장은 왜 생겼을까?</t>
  </si>
  <si>
    <t>차보금 글;홍성지 그림</t>
  </si>
  <si>
    <t>JD0000022662</t>
  </si>
  <si>
    <t>얼렁뚱땅 나라의 법</t>
  </si>
  <si>
    <t>박은정 글;한동훈 그림</t>
  </si>
  <si>
    <t>JD0000022663</t>
  </si>
  <si>
    <t>오늘은 설날</t>
  </si>
  <si>
    <t>이지현 글;김민연 그림</t>
  </si>
  <si>
    <t>JD0000022664</t>
  </si>
  <si>
    <t>이곳은 어디일까요?</t>
  </si>
  <si>
    <t>김미혜 글;최지경·윤진현</t>
  </si>
  <si>
    <t>JD0000022665</t>
  </si>
  <si>
    <t>그래서 이런 날이 생겼대요</t>
  </si>
  <si>
    <t>우리누리 글;우지현 그림</t>
  </si>
  <si>
    <t>길벗스쿨</t>
  </si>
  <si>
    <t>JD0000022666</t>
  </si>
  <si>
    <t>그래서 이런 정치가 생겼대요</t>
  </si>
  <si>
    <t>우리누리 글;김경호 그림</t>
  </si>
  <si>
    <t>JD0000022667</t>
  </si>
  <si>
    <t>그래서 이런 풍속이 생겼대요</t>
  </si>
  <si>
    <t>우리누리 글;신명환 그림</t>
  </si>
  <si>
    <t>JD0000022668</t>
  </si>
  <si>
    <t>세상에 대하여 우리가 더 잘 알아야 할 교양 : 공정무역, 왜 필요할까?</t>
  </si>
  <si>
    <t>아드리안 쿠퍼 글;전국사회교사모임 옮김</t>
  </si>
  <si>
    <t>내인생의책</t>
  </si>
  <si>
    <t>JD0000022669</t>
  </si>
  <si>
    <t>세상에 대하여 우리가 더 잘 알아야 할 교양 : 테러, 왜 일어날까?</t>
  </si>
  <si>
    <t>헬렌 도노호 글;전국사회교사모임 옮김</t>
  </si>
  <si>
    <t>JD0000022670</t>
  </si>
  <si>
    <t>세상에 대하여 우리가 더 잘 알아야 할 교양 : 중국, 초강대국이 될까?</t>
  </si>
  <si>
    <t>안토니 메이슨 글;전국사회교사모임 옮김</t>
  </si>
  <si>
    <t>JD0000022671</t>
  </si>
  <si>
    <t>세상에 대하여 우리가 더 잘 알아야 할 교양 : 이주, 왜 고국을 떠날까?</t>
  </si>
  <si>
    <t>루스 윌슨 지음;전국사회교사모임 옮김</t>
  </si>
  <si>
    <t>JD0000022672</t>
  </si>
  <si>
    <t>세상에 대하여 우리가 더 잘 알아야 할 교양 : 비만, 왜 사회 문제가 될까?</t>
  </si>
  <si>
    <t>콜린 힌슨;김종덕 [공]글;전국사회교사모임 옮김</t>
  </si>
  <si>
    <t>JD0000022673</t>
  </si>
  <si>
    <t>세상에 대하여 우리가 더 잘 알아야 할 교양 : 자본주의, 왜 변할까?</t>
  </si>
  <si>
    <t>데이비드 다우닝 글;김영배 옮김</t>
  </si>
  <si>
    <t>JD0000022674</t>
  </si>
  <si>
    <t>세상에 대하여 우리가 더 잘 알아야 할 교양 : 에너지 위기, 어디까지 왔나?</t>
  </si>
  <si>
    <t>이완 맥레쉬 글;박미용 옮김</t>
  </si>
  <si>
    <t>JD0000022675</t>
  </si>
  <si>
    <t>세상에 대하여 우리가 더 잘 알아야 할 교양 : 미디어의 힘, 견제해야 할까?</t>
  </si>
  <si>
    <t>데이비드 애보트 글;이윤진 옮김</t>
  </si>
  <si>
    <t>JD0000022676</t>
  </si>
  <si>
    <t>세상에 대하여 우리가 더 잘 알아야 할 교양 : 자연재해, 인간과 자연이 공존하는 길은?</t>
  </si>
  <si>
    <t>안토니 메이슨 글;선세갑 옮김</t>
  </si>
  <si>
    <t>JD0000022677</t>
  </si>
  <si>
    <t>세상에 대하여 우리가 더 잘 알아야 할 교양 : 성형 수술, 외모지상주의의 끝은?</t>
  </si>
  <si>
    <t>케이 스티어만 글;김아림 옮김</t>
  </si>
  <si>
    <t>JD0000022678</t>
  </si>
  <si>
    <t>세상에 대하여 우리가 더 잘 알아야 할 교양 : 사형제도 과연 필요한가?</t>
  </si>
  <si>
    <t>케이 스티어만 글;김혜영 옮김</t>
  </si>
  <si>
    <t>JD0000022679</t>
  </si>
  <si>
    <t>세상에 대하여 우리가 더 잘 알아야 할 교양 : 군사개입, 과연 최선인가</t>
  </si>
  <si>
    <t>케이 스티어만 글;이찬 옮김</t>
  </si>
  <si>
    <t>JD0000022680</t>
  </si>
  <si>
    <t>세상에 대하여 우리가 더 잘 알아야 할 교양 : 동물실험, 왜 논란이 될까?</t>
  </si>
  <si>
    <t>페이션스 코스터 글;김기철 옮김</t>
  </si>
  <si>
    <t>JD0000022681</t>
  </si>
  <si>
    <t>세상에 대하여 우리가 더 잘 알아야 할 교양 : 관광산업, 지속 가능할까?</t>
  </si>
  <si>
    <t>루이스 스필스베리 글;정다워 옮김</t>
  </si>
  <si>
    <t>JD0000022682</t>
  </si>
  <si>
    <t>세상에 대하여 우리가 더 잘 알아야 할 교양 : 인권, 인간의 권리란 무엇일까?</t>
  </si>
  <si>
    <t>은우근;조셉 해리스 [공]글;전국사회교사모임 옮김</t>
  </si>
  <si>
    <t>JD0000022683</t>
  </si>
  <si>
    <t>세상에 대하여 우리가 더 잘 알아야 할 교양 : 소셜 네트워크, 어떻게 바라볼까?</t>
  </si>
  <si>
    <t>로리 하일 글;강인규 옮김</t>
  </si>
  <si>
    <t>JD0000022684</t>
  </si>
  <si>
    <t>욕심쟁이 딸기 아저씨</t>
  </si>
  <si>
    <t>김유경 글·그림</t>
  </si>
  <si>
    <t>노란돼지</t>
  </si>
  <si>
    <t>JD0000022685</t>
  </si>
  <si>
    <t>나는 두 집에 살아요</t>
  </si>
  <si>
    <t>마리안 드 스멧 글;닝커 탈스마 그림;정신재 옮김</t>
  </si>
  <si>
    <t>JD0000022686</t>
  </si>
  <si>
    <t>(백발백중 우리 민족) 활시위를 당겨라</t>
  </si>
  <si>
    <t>김형국 글;송영방 그림</t>
  </si>
  <si>
    <t>마루벌</t>
  </si>
  <si>
    <t>JD0000022687</t>
  </si>
  <si>
    <t>명태를 찾습니다!</t>
  </si>
  <si>
    <t>주강현 글;김형근 그림</t>
  </si>
  <si>
    <t>미래아이:미래M＆B</t>
  </si>
  <si>
    <t>JD0000022688</t>
  </si>
  <si>
    <t>난 꼭 행복한 부자가 될 거야!</t>
  </si>
  <si>
    <t>오렌지툰 글·그림</t>
  </si>
  <si>
    <t>밝은미래</t>
  </si>
  <si>
    <t>JD0000022689</t>
  </si>
  <si>
    <t>재주 많은 일곱 쌍둥이</t>
  </si>
  <si>
    <t>홍영우 글</t>
  </si>
  <si>
    <t>JD0000022690</t>
  </si>
  <si>
    <t>사회는 쉽다!. 1, 왕, 총리, 대통령 중 누가 가장 높을까?</t>
  </si>
  <si>
    <t>김서윤 글;이고은 그림</t>
  </si>
  <si>
    <t>비룡소</t>
  </si>
  <si>
    <t>JD0000022691</t>
  </si>
  <si>
    <t>사회는 쉽다!. 2, 처음 세상이 생겨났을 때., 건국 신화에 숨은 우리 역사와 문화</t>
  </si>
  <si>
    <t>유다정 글;민은정 그림</t>
  </si>
  <si>
    <t>JD0000022692</t>
  </si>
  <si>
    <t>사회는 쉽다!. 3, 모두 우리나라야!., 거꾸로 읽는 한국사 이야기</t>
  </si>
  <si>
    <t>이흔 글;김준영 그림</t>
  </si>
  <si>
    <t>JD0000022693</t>
  </si>
  <si>
    <t>연오랑과 세오녀</t>
  </si>
  <si>
    <t>김향이 글;박철민 그림</t>
  </si>
  <si>
    <t>JD0000022694</t>
  </si>
  <si>
    <t>옛날처럼 살아 봤어요</t>
  </si>
  <si>
    <t>조은 지음;장경혜 그림</t>
  </si>
  <si>
    <t>사계절</t>
  </si>
  <si>
    <t>JD0000022695</t>
  </si>
  <si>
    <t>출동! 마을은 내가 지킨다</t>
  </si>
  <si>
    <t>임정은 씀;최미란 그림</t>
  </si>
  <si>
    <t>JD0000022696</t>
  </si>
  <si>
    <t>내 맘대로 하면 왜 안돼?</t>
  </si>
  <si>
    <t>엘리자베스 버딕 글;스티브 마크 그림;배블링 북스 옮김</t>
  </si>
  <si>
    <t>산하</t>
  </si>
  <si>
    <t>JD0000022697</t>
  </si>
  <si>
    <t>기사가 될래, 연금술사가 될래? : 중세 유럽의 별난 직업 100가지</t>
  </si>
  <si>
    <t>프리실라 갤러웨이 글;마사 뉴비깅 그림;정범진;정수연 [공]옮김</t>
  </si>
  <si>
    <t>시공주니어</t>
  </si>
  <si>
    <t>JD0000022698</t>
  </si>
  <si>
    <t>접골사가 될래, 벌레를 키울래? : 아즈텍·마야의 별난 직업 100가지</t>
  </si>
  <si>
    <t>로리 콜터 글;마사 뉴비깅 그림;정범진;정수연 [공]옮김</t>
  </si>
  <si>
    <t>JD0000022699</t>
  </si>
  <si>
    <t>파라오가 될래, 미라를 만들래? : 고대 이집트의 별난 직업 100가지</t>
  </si>
  <si>
    <t>크리스틴 부처 글;마사 뉴비깅 그림;정범진;정수연 [공]옮김</t>
  </si>
  <si>
    <t>JD0000022700</t>
  </si>
  <si>
    <t>(마법천자문) 사회원정대. 1, 지도-움직이는 섬의 정체를 밝혀라!</t>
  </si>
  <si>
    <t>홍용훈 글;윤효식;윤재홍 [공]그림</t>
  </si>
  <si>
    <t>아울북</t>
  </si>
  <si>
    <t>JD0000022701</t>
  </si>
  <si>
    <t>(마법천자문) 사회원정대. 2, 세계유산-인류 최고의 보물을 지켜라!</t>
  </si>
  <si>
    <t>홍용훈;임창호 [공]글;강주연 그림</t>
  </si>
  <si>
    <t>JD0000022702</t>
  </si>
  <si>
    <t>(마법천자문) 사회원정대. 3, 도시-도시연합을 지켜라!</t>
  </si>
  <si>
    <t>김성재 글;윤재홍;지상록 [공]그림</t>
  </si>
  <si>
    <t>JD0000022703</t>
  </si>
  <si>
    <t>(마법천자문) 사회원정대. 4, 지구 자원을 보호하라!</t>
  </si>
  <si>
    <t>김성재 글;홍거북 그림</t>
  </si>
  <si>
    <t>JD0000022704</t>
  </si>
  <si>
    <t>(마법천자문) 사회원정대. 5, 자연환경-지구 온난화를 막아라!</t>
  </si>
  <si>
    <t>김성재 글;도나팡팡 그림</t>
  </si>
  <si>
    <t>JD0000022705</t>
  </si>
  <si>
    <t>(마법천자문) 사회원정대. 6, 정치-민주주의를 수호하라!</t>
  </si>
  <si>
    <t>JD0000022706</t>
  </si>
  <si>
    <t>(마법천자문) 사회원정대. 7, 법-최고의 법, 헌법을 찾아라!</t>
  </si>
  <si>
    <t>JD0000022707</t>
  </si>
  <si>
    <t>방귀가 뿡뿡뿡!</t>
  </si>
  <si>
    <t>애플비북스편집부 편</t>
  </si>
  <si>
    <t>애플비북스</t>
  </si>
  <si>
    <t>JD0000022708</t>
  </si>
  <si>
    <t>행복 직업 찾아요 : 생생하게 체험하는 직업 세상</t>
  </si>
  <si>
    <t>서지원[공]저;김중석 그림</t>
  </si>
  <si>
    <t>열다</t>
  </si>
  <si>
    <t>JD0000022709</t>
  </si>
  <si>
    <t>꾀쟁이 원숭이 : 인도 옛이야기</t>
  </si>
  <si>
    <t>제럴드 맥더멋 글·그림;서남희 옮김</t>
  </si>
  <si>
    <t>열린어린이</t>
  </si>
  <si>
    <t>JD0000022710</t>
  </si>
  <si>
    <t>우리 협상하자! : 원하는 것을 얻어내는 대화의 힘</t>
  </si>
  <si>
    <t>산노마루 게이코 글;정호선 그림;박상곤 옮김</t>
  </si>
  <si>
    <t>예림당</t>
  </si>
  <si>
    <t>JD0000022711</t>
  </si>
  <si>
    <t>(Why?) 세계 유산</t>
  </si>
  <si>
    <t>조영선 글;이영호 그림</t>
  </si>
  <si>
    <t>JD0000022712</t>
  </si>
  <si>
    <t>(Why?) 신분과 직업</t>
  </si>
  <si>
    <t>이근 지음;극동만화연구소 그림</t>
  </si>
  <si>
    <t>JD0000022713</t>
  </si>
  <si>
    <t>더위야, 썩 물렀거라!</t>
  </si>
  <si>
    <t>신동경 글;노정아 그림</t>
  </si>
  <si>
    <t>웅진주니어</t>
  </si>
  <si>
    <t>JD0000022714</t>
  </si>
  <si>
    <t>신통방통 세 가지 말</t>
  </si>
  <si>
    <t>김경희 글·그림</t>
  </si>
  <si>
    <t>JD0000022715</t>
  </si>
  <si>
    <t>(어린이를 위한) 생각 정리의 기술</t>
  </si>
  <si>
    <t>김하늬 글;유설화 그림</t>
  </si>
  <si>
    <t>위즈덤하우스</t>
  </si>
  <si>
    <t>JD0000022716</t>
  </si>
  <si>
    <t>(어린이를 위한) 집중 향상의 기술</t>
  </si>
  <si>
    <t>김은의 글;이명경 콘텐츠;김미정 그림</t>
  </si>
  <si>
    <t>JD0000022717</t>
  </si>
  <si>
    <t>이솝우화로 읽는 경제 이야기</t>
  </si>
  <si>
    <t>서명수 지음;이동현 그림</t>
  </si>
  <si>
    <t>이미디어출판그룹</t>
  </si>
  <si>
    <t>JD0000022718</t>
  </si>
  <si>
    <t>아인슈타인처럼 생각하고 셜록 홈즈처럼 기억하라 : 창의력 두뇌 학습법</t>
  </si>
  <si>
    <t>조현진 글;마나시타 그림</t>
  </si>
  <si>
    <t>자유로운상상</t>
  </si>
  <si>
    <t>JD0000022719</t>
  </si>
  <si>
    <t>슈울멍 이야기</t>
  </si>
  <si>
    <t>정채운 글;김빛나 그림</t>
  </si>
  <si>
    <t>작가와비평</t>
  </si>
  <si>
    <t>JD0000022720</t>
  </si>
  <si>
    <t>까꿍 뭘 먹을까 : 우리 아가가 이유식 먹어요</t>
  </si>
  <si>
    <t>길도형 글·구성;송희진 그림·자수</t>
  </si>
  <si>
    <t>장수하늘소</t>
  </si>
  <si>
    <t>JD0000022721</t>
  </si>
  <si>
    <t>(신통방통 플러스) 시장과 경제</t>
  </si>
  <si>
    <t>황근기 글;심창국 그림</t>
  </si>
  <si>
    <t>좋은책신사고 좋은책어린이</t>
  </si>
  <si>
    <t>JD0000022722</t>
  </si>
  <si>
    <t>신통방통 발표하기</t>
  </si>
  <si>
    <t>박현숙 글;최정인 그림</t>
  </si>
  <si>
    <t>좋은책신사고</t>
  </si>
  <si>
    <t>JD0000022723</t>
  </si>
  <si>
    <t>신통방통 체험학습 보고서</t>
  </si>
  <si>
    <t>서지원 글;경하 그림</t>
  </si>
  <si>
    <t>JD0000022724</t>
  </si>
  <si>
    <t>(뒤죽박죽 올리,) 계획왕 되다</t>
  </si>
  <si>
    <t>송윤섭 글;박진아 그림</t>
  </si>
  <si>
    <t>JD0000022725</t>
  </si>
  <si>
    <t>소심한 미호. 방송 PD 되다</t>
  </si>
  <si>
    <t>신승철 글;이승연 그림</t>
  </si>
  <si>
    <t>JD0000022726</t>
  </si>
  <si>
    <t>스티브 잡스 발표법</t>
  </si>
  <si>
    <t>주니어RHK:알에이치코리아</t>
  </si>
  <si>
    <t>JD0000022727</t>
  </si>
  <si>
    <t>아름다운 세상, 우리가 만들어요</t>
  </si>
  <si>
    <t>앤 셸비 글;아이린 트리바스 그림;공경희 옮김</t>
  </si>
  <si>
    <t>찰리북</t>
  </si>
  <si>
    <t>JD0000022728</t>
  </si>
  <si>
    <t>(초등학생이 꼭 알아야 할) 성공한 사람들의 공부 습관</t>
  </si>
  <si>
    <t>김세정 지음;최지영 그림</t>
  </si>
  <si>
    <t>JD0000022729</t>
  </si>
  <si>
    <t>이이화 역사 할아버지가 들려주는 관혼상제 이야기</t>
  </si>
  <si>
    <t>이이화 원작;권경미 글;지영이 그림</t>
  </si>
  <si>
    <t>JD0000022730</t>
  </si>
  <si>
    <t>무지개의 비밀을 찾아서</t>
  </si>
  <si>
    <t>알렉스 캐브레라 글;로사 M. 쿠르토 그림;김성은 옮김</t>
  </si>
  <si>
    <t>파인앤굿엔터테인먼트</t>
  </si>
  <si>
    <t>JD0000022731</t>
  </si>
  <si>
    <t>부모님들이 사라졌어요! = Where Are My Parents?</t>
  </si>
  <si>
    <t>JD0000022732</t>
  </si>
  <si>
    <t>좌충우돌 선거운동 : 아이들의 선거·어른들의 선거</t>
  </si>
  <si>
    <t>최형미 글;지영이 그림</t>
  </si>
  <si>
    <t>JD0000022733</t>
  </si>
  <si>
    <t>(호랑이 배에서) 덩 딱기 덩 딱!</t>
  </si>
  <si>
    <t>박현숙 글;구소리 그림</t>
  </si>
  <si>
    <t>한솔수북</t>
  </si>
  <si>
    <t>JD0000022734</t>
  </si>
  <si>
    <t>똥이 안 나와!</t>
  </si>
  <si>
    <t>스테파니 블레이크 글;김영신 옮김</t>
  </si>
  <si>
    <t>한울림어린이</t>
  </si>
  <si>
    <t>JD0000022735</t>
  </si>
  <si>
    <t>슬픈 숨바꼭질 : 실종가족의 희망 이야기</t>
  </si>
  <si>
    <t>손호경 글;오은영 그림</t>
  </si>
  <si>
    <t>형설아이</t>
  </si>
  <si>
    <t>JD0000022736</t>
  </si>
  <si>
    <t>장화홍련전</t>
  </si>
  <si>
    <t>강벼리 글;한태희 그림</t>
  </si>
  <si>
    <t>황제펭귄</t>
  </si>
  <si>
    <t>JD0000022737</t>
  </si>
  <si>
    <t>전우치전</t>
  </si>
  <si>
    <t>송언 글;한병호 그림</t>
  </si>
  <si>
    <t>JD0000022738</t>
  </si>
  <si>
    <t>토끼전</t>
  </si>
  <si>
    <t>김진경 글;강우근 그림</t>
  </si>
  <si>
    <t>JD0000022739</t>
  </si>
  <si>
    <t>어린이 과학 형사대 CSI. 6, CSI, 정식 경찰이 되다</t>
  </si>
  <si>
    <t>고희정 글;서용남 그림</t>
  </si>
  <si>
    <t>가나</t>
  </si>
  <si>
    <t>JD0000022740</t>
  </si>
  <si>
    <t>어린이 과학 형사대 CSI. 7, CSI, 멋진 선배가 되다</t>
  </si>
  <si>
    <t>JD0000022741</t>
  </si>
  <si>
    <t>어린이 과학 형사대 CSI. 8, CSI, 특별한 방학을 보내다</t>
  </si>
  <si>
    <t>JD0000022742</t>
  </si>
  <si>
    <t>어린이 과학 형사대 CSI. 9, CSI, 마지막 학기를 보내다</t>
  </si>
  <si>
    <t>JD0000022743</t>
  </si>
  <si>
    <t>어린이 과학 형사대 CSI. 10, CSI여, 영원하라!</t>
  </si>
  <si>
    <t>JD0000022744</t>
  </si>
  <si>
    <t>어린이 과학 형사대 CSI. 11, CSI, 새롭게 태어나다!</t>
  </si>
  <si>
    <t>JD0000022745</t>
  </si>
  <si>
    <t>어린이 과학 형사대 CSI. 12, CSI, 갈등이 시작되다!</t>
  </si>
  <si>
    <t>JD0000022746</t>
  </si>
  <si>
    <t>어린이 과학 형사대 CSI. 13, CSI, 친구가  되다!</t>
  </si>
  <si>
    <t>JD0000022747</t>
  </si>
  <si>
    <t>어린이 과학 형사대 CSI. 14, CSI, 경찰서에 가다!</t>
  </si>
  <si>
    <t>JD0000022748</t>
  </si>
  <si>
    <t>어린이 과학 형사대 CSI. 15, CSI, 새로운 변화가 시작되다!</t>
  </si>
  <si>
    <t>JD0000022749</t>
  </si>
  <si>
    <t>어린이 과학 형사대 CSI. 16, CSI, 위기를 극복하다!</t>
  </si>
  <si>
    <t>JD0000022750</t>
  </si>
  <si>
    <t>어린이 과학 형사대 CSI. 17, CSI, 파란만장한 방학을 보내다!</t>
  </si>
  <si>
    <t>JD0000022751</t>
  </si>
  <si>
    <t>어린이 과학 형사대 CSI. 18, CSI, 최고의 형사가 되다</t>
  </si>
  <si>
    <t>고희정 지음;서용남 그림</t>
  </si>
  <si>
    <t>JD0000022752</t>
  </si>
  <si>
    <t>어린이 과학 형사대 CSI. 19, CSI, 소중한 우정을 지키다!</t>
  </si>
  <si>
    <t>JD0000022753</t>
  </si>
  <si>
    <t>어린이 과학 형사대 CSI. 20, CSI, 꿈을 향해 날다!</t>
  </si>
  <si>
    <t>JD0000022754</t>
  </si>
  <si>
    <t>똥이랑 곤충</t>
  </si>
  <si>
    <t>고은경 기획·구성;이항선 그림</t>
  </si>
  <si>
    <t>개똥이책</t>
  </si>
  <si>
    <t>JD0000022755</t>
  </si>
  <si>
    <t>나 따라 하지 마!</t>
  </si>
  <si>
    <t>차오쥔옌 글·그림;유엔제이 옮김</t>
  </si>
  <si>
    <t>거북이북스</t>
  </si>
  <si>
    <t>JD0000022756</t>
  </si>
  <si>
    <t>너 반쪽 나 반쪽</t>
  </si>
  <si>
    <t>JD0000022757</t>
  </si>
  <si>
    <t>(테일즈런너) 수학 킹왕짱!. 15, 대마왕과 그래프의 설계</t>
  </si>
  <si>
    <t>디지털터치 글·그림</t>
  </si>
  <si>
    <t>JD0000022758</t>
  </si>
  <si>
    <t>(테일즈런너) 수학 킹왕짱!. 16, 빛의 골짜기와 그림 그려 풀기</t>
  </si>
  <si>
    <t>JD0000022759</t>
  </si>
  <si>
    <t>(테일즈런너) 수학 킹왕짱!. 17, 전설의 무기와 여러 가지 풀기</t>
  </si>
  <si>
    <t>디지털터치 글;김경수 그림</t>
  </si>
  <si>
    <t>JD0000022760</t>
  </si>
  <si>
    <t>(테일즈런너) 수학 킹왕짱!. 18, 불행의 편지와 소수 문제</t>
  </si>
  <si>
    <t>디지털터치 글;문인호 그림</t>
  </si>
  <si>
    <t>JD0000022761</t>
  </si>
  <si>
    <t>(테일즈런너) 수학 킹왕짱!. 19, 카오스 전쟁과 평균 구하기</t>
  </si>
  <si>
    <t>JD0000022762</t>
  </si>
  <si>
    <t>(테일즈런너) 수학 킹왕짱!. 20, 현실세계와 연비 구하기</t>
  </si>
  <si>
    <t>JD0000022763</t>
  </si>
  <si>
    <t>(테일즈런너) 수학 킹왕짱!. 21, 입체도형과 티나</t>
  </si>
  <si>
    <t>JD0000022764</t>
  </si>
  <si>
    <t>(테일즈런너) 수학 킹왕짱!. 22, 사장성과 집합</t>
  </si>
  <si>
    <t>JD0000022765</t>
  </si>
  <si>
    <t>(테일즈런너) 수학 킹왕짱!. 23, 악몽의 방과 신의 퀴즈</t>
  </si>
  <si>
    <t>이강안 글;문인호 그림</t>
  </si>
  <si>
    <t>JD0000022766</t>
  </si>
  <si>
    <t>(테일즈런너) 수학 킹왕짱!. 24, 어둠의 레이싱과 도형</t>
  </si>
  <si>
    <t>JD0000022767</t>
  </si>
  <si>
    <t>괜찮아,나도 잘해!</t>
  </si>
  <si>
    <t>차보금 글;배종숙 그림</t>
  </si>
  <si>
    <t>JD0000022768</t>
  </si>
  <si>
    <t>누가 하마의 산딸기를 먹었을까?</t>
  </si>
  <si>
    <t>JD0000022769</t>
  </si>
  <si>
    <t>빙글빙글, 지구를 여행해요</t>
  </si>
  <si>
    <t>이희주 글;아이완 그림</t>
  </si>
  <si>
    <t>JD0000022770</t>
  </si>
  <si>
    <t>엄마 찾아 꼬물꼬물</t>
  </si>
  <si>
    <t>김세실 글;황종욱 그림</t>
  </si>
  <si>
    <t>JD0000022771</t>
  </si>
  <si>
    <t>우주 날씨를 말씀드리겠습니다 : 우주 과학자가 들려주는 우주 환경 이야기</t>
  </si>
  <si>
    <t>황정아 글;권효실 그림</t>
  </si>
  <si>
    <t>꼬마이실:이론과실천</t>
  </si>
  <si>
    <t>JD0000022772</t>
  </si>
  <si>
    <t>날아라 애벌레</t>
  </si>
  <si>
    <t>허정원 글;최정현 그림</t>
  </si>
  <si>
    <t>꿈터:예원미디어</t>
  </si>
  <si>
    <t>JD0000022773</t>
  </si>
  <si>
    <t>알파벳 마을에 놀러 온 숫자 친구들</t>
  </si>
  <si>
    <t>브라이언 에번스 글;킴벌리 문 그림;김현좌 옮김</t>
  </si>
  <si>
    <t>노란우산:멘토르</t>
  </si>
  <si>
    <t>JD0000022774</t>
  </si>
  <si>
    <t>나의 첫 식물 책</t>
  </si>
  <si>
    <t>마르그리트 티베르티 글;카퓌신 마지으 그림;이효숙 옮김</t>
  </si>
  <si>
    <t>다산기획</t>
  </si>
  <si>
    <t>JD0000022775</t>
  </si>
  <si>
    <t>(처음 만나는) 나의 자연노트. 1, 숲 속의 동물들</t>
  </si>
  <si>
    <t>올리비아 쿠스노 지음;이세진 옮김</t>
  </si>
  <si>
    <t>달리</t>
  </si>
  <si>
    <t>JD0000022776</t>
  </si>
  <si>
    <t>(처음 만나는) 나의 자연노트. 2, 바다의 생물들</t>
  </si>
  <si>
    <t>JD0000022777</t>
  </si>
  <si>
    <t>(처음 만나는) 나의 자연노트. 3, 바닷가에서</t>
  </si>
  <si>
    <t>JD0000022778</t>
  </si>
  <si>
    <t>(처음 만나는) 나의 자연노트. 4, 나비와 나방</t>
  </si>
  <si>
    <t>JD0000022779</t>
  </si>
  <si>
    <t>(처음 만나는) 나의 자연노트. 5, 정원의 곤충들</t>
  </si>
  <si>
    <t>JD0000022780</t>
  </si>
  <si>
    <t>(처음 만나는) 나의 자연노트. 6, 세상의 새들</t>
  </si>
  <si>
    <t>JD0000022781</t>
  </si>
  <si>
    <t>동물대백과. 3, 육지의 포유류 편</t>
  </si>
  <si>
    <t>David Anderton 저;복선경 옮김</t>
  </si>
  <si>
    <t>담터미디어</t>
  </si>
  <si>
    <t>JD0000022782</t>
  </si>
  <si>
    <t>수학영웅 피코. 1, 영웅의 탄생</t>
  </si>
  <si>
    <t>고선아 글;홍승우 그림</t>
  </si>
  <si>
    <t>과학동아북스:동아사이언스</t>
  </si>
  <si>
    <t>JD0000022783</t>
  </si>
  <si>
    <t>수학영웅 피코. 2, 붉은개미 왕국으로 출발</t>
  </si>
  <si>
    <t>JD0000022784</t>
  </si>
  <si>
    <t>똑똑한 숫자놀이 : 토끼의 물건 찾기</t>
  </si>
  <si>
    <t>캐롤라인 스틸스;사르시아 스틸스 [공]글;주디스 로셀 그림;김혜진 옮김</t>
  </si>
  <si>
    <t>JD0000022785</t>
  </si>
  <si>
    <t>조금 남다른 개미</t>
  </si>
  <si>
    <t>툴리오 코르다 글·그림;김현주 옮김</t>
  </si>
  <si>
    <t>씨앤톡</t>
  </si>
  <si>
    <t>JD0000022786</t>
  </si>
  <si>
    <t>수학식당. 1</t>
  </si>
  <si>
    <t>김희남 글;김진화 그림</t>
  </si>
  <si>
    <t>생각과느낌(명왕성은자유다)</t>
  </si>
  <si>
    <t>JD0000022787</t>
  </si>
  <si>
    <t>누가 누가 범인일까?</t>
  </si>
  <si>
    <t>김영주 글;김윤영 그림</t>
  </si>
  <si>
    <t>JD0000022788</t>
  </si>
  <si>
    <t>나비가 되고 싶어</t>
  </si>
  <si>
    <t>엠마누엘레 베르토시 글·그림;이순영 옮김</t>
  </si>
  <si>
    <t>북극곰</t>
  </si>
  <si>
    <t>JD0000022789</t>
  </si>
  <si>
    <t>다윈의 꿈틀꿈틀 지렁이 연구</t>
  </si>
  <si>
    <t>니즈마 아키오 글;스기타 히로미 그림;고향옥 옮김</t>
  </si>
  <si>
    <t>JD0000022790</t>
  </si>
  <si>
    <t>앗! 모기다</t>
  </si>
  <si>
    <t>정미라 글;김이랑 그림</t>
  </si>
  <si>
    <t>JD0000022791</t>
  </si>
  <si>
    <t>개구리야,일어나</t>
  </si>
  <si>
    <t>보린;유다정;윤아해 [공]글;신동준 그림</t>
  </si>
  <si>
    <t>사파리</t>
  </si>
  <si>
    <t>JD0000022792</t>
  </si>
  <si>
    <t>초록색 똥을 뿌지직</t>
  </si>
  <si>
    <t>윤아해;보린;유다정 [공]글;신동준 그림</t>
  </si>
  <si>
    <t>JD0000022793</t>
  </si>
  <si>
    <t>개구리</t>
  </si>
  <si>
    <t>엘리자베스 카니 글;김정희 번역</t>
  </si>
  <si>
    <t>삼성</t>
  </si>
  <si>
    <t>JD0000022794</t>
  </si>
  <si>
    <t>공룡</t>
  </si>
  <si>
    <t>캐슬린 웨이드너 조펠드 글;김정희 번역</t>
  </si>
  <si>
    <t>JD0000022795</t>
  </si>
  <si>
    <t>개미</t>
  </si>
  <si>
    <t>멜리사 스튜어트 글;김정희 번역</t>
  </si>
  <si>
    <t>JD0000022796</t>
  </si>
  <si>
    <t>도마뱀</t>
  </si>
  <si>
    <t>로라 마시 글;김정희 번역</t>
  </si>
  <si>
    <t>JD0000022797</t>
  </si>
  <si>
    <t>조랑말</t>
  </si>
  <si>
    <t>JD0000022798</t>
  </si>
  <si>
    <t>거미</t>
  </si>
  <si>
    <t>JD0000022799</t>
  </si>
  <si>
    <t>폭풍</t>
  </si>
  <si>
    <t>미리암 부시 고인 글;김정희 번역</t>
  </si>
  <si>
    <t>JD0000022800</t>
  </si>
  <si>
    <t>돌고래</t>
  </si>
  <si>
    <t>JD0000022801</t>
  </si>
  <si>
    <t>판다</t>
  </si>
  <si>
    <t>앤 슈라이버 글;김정희 번역</t>
  </si>
  <si>
    <t>JD0000022802</t>
  </si>
  <si>
    <t>호랑이</t>
  </si>
  <si>
    <t>JD0000022803</t>
  </si>
  <si>
    <t>미라</t>
  </si>
  <si>
    <t>엘리자베스 카니 글;김경숙 옮김</t>
  </si>
  <si>
    <t>JD0000022804</t>
  </si>
  <si>
    <t>바다거북</t>
  </si>
  <si>
    <t>로라 마시 글;김경숙 번역</t>
  </si>
  <si>
    <t>JD0000022805</t>
  </si>
  <si>
    <t>늑대</t>
  </si>
  <si>
    <t>JD0000022806</t>
  </si>
  <si>
    <t>화산</t>
  </si>
  <si>
    <t>앤 슈라이버 글;김경숙 번역</t>
  </si>
  <si>
    <t>JD0000022807</t>
  </si>
  <si>
    <t>치타</t>
  </si>
  <si>
    <t>JD0000022808</t>
  </si>
  <si>
    <t>뱀</t>
  </si>
  <si>
    <t>JD0000022809</t>
  </si>
  <si>
    <t>상어</t>
  </si>
  <si>
    <t>JD0000022810</t>
  </si>
  <si>
    <t>박쥐</t>
  </si>
  <si>
    <t>JD0000022811</t>
  </si>
  <si>
    <t>펭귄</t>
  </si>
  <si>
    <t>JD0000022812</t>
  </si>
  <si>
    <t>고래</t>
  </si>
  <si>
    <t>JD0000022813</t>
  </si>
  <si>
    <t>코끼리</t>
  </si>
  <si>
    <t>JD0000022814</t>
  </si>
  <si>
    <t>나비</t>
  </si>
  <si>
    <t>JD0000022815</t>
  </si>
  <si>
    <t>개와 고양이</t>
  </si>
  <si>
    <t>엘리자베스 카니 글;김경숙 번역</t>
  </si>
  <si>
    <t>JD0000022816</t>
  </si>
  <si>
    <t>동물의 대이동</t>
  </si>
  <si>
    <t>JD0000022817</t>
  </si>
  <si>
    <t>무서운 동물들</t>
  </si>
  <si>
    <t>JD0000022818</t>
  </si>
  <si>
    <t>빗방울이 똑똑똑 : 물의 순환에 대한 이야기</t>
  </si>
  <si>
    <t>주디스 앤더슨 지음;마이크 고든 그림;최연순 옮김</t>
  </si>
  <si>
    <t>상상스쿨</t>
  </si>
  <si>
    <t>JD0000022819</t>
  </si>
  <si>
    <t>올챙이 뒷다리가 쏙 : 개구리의 한살이에 대한 이야기</t>
  </si>
  <si>
    <t>JD0000022820</t>
  </si>
  <si>
    <t>여러 가지 새 둥지</t>
  </si>
  <si>
    <t>스즈키 마모루 지음;유정칠 옮김</t>
  </si>
  <si>
    <t>소년한길:토마토하우스</t>
  </si>
  <si>
    <t>JD0000022821</t>
  </si>
  <si>
    <t>아마존친구들 : 열대우림 대탐험</t>
  </si>
  <si>
    <t>로리 크렙스 글;앤 윌슨 그림;장루미 옮김</t>
  </si>
  <si>
    <t>아라미</t>
  </si>
  <si>
    <t>JD0000022822</t>
  </si>
  <si>
    <t>호랑이야, 사자랑 싸우면 누가 이기니?</t>
  </si>
  <si>
    <t>최종욱 글·사진;김효주 그림</t>
  </si>
  <si>
    <t>JD0000022823</t>
  </si>
  <si>
    <t>마당에서 만나는 과학</t>
  </si>
  <si>
    <t>리사 캠벨 어니스트 지음;김아림 옮김</t>
  </si>
  <si>
    <t>JD0000022824</t>
  </si>
  <si>
    <t>(하루 동안 떠나는) 늪지 여행</t>
  </si>
  <si>
    <t>제라드 체셰어 지음;마틴 캠 그림;홍연주 옮김</t>
  </si>
  <si>
    <t>아리샘주니어</t>
  </si>
  <si>
    <t>JD0000022825</t>
  </si>
  <si>
    <t>(마법천자문) 수학원정대. 1, 기본 도형-피타고라스와 기본 도형</t>
  </si>
  <si>
    <t>고순정 글;문성호 그림</t>
  </si>
  <si>
    <t>JD0000022826</t>
  </si>
  <si>
    <t>(마법천자문) 수학원정대. 2, 자연수-피타고라스와 자연수</t>
  </si>
  <si>
    <t>지노 글;고순정;문성호;김수현 [공]그림</t>
  </si>
  <si>
    <t>JD0000022827</t>
  </si>
  <si>
    <t>(마법천자문) 수학원정대. 3, 각-유클리드와 각</t>
  </si>
  <si>
    <t>지노 글;문성호 그림;김수현 채색</t>
  </si>
  <si>
    <t>JD0000022828</t>
  </si>
  <si>
    <t>(마법천자문) 수학원정대. 4, 어림하기-가우스와 어림하기</t>
  </si>
  <si>
    <t>JD0000022829</t>
  </si>
  <si>
    <t>내일은 실험왕. 17, 자극과 반응의 대결</t>
  </si>
  <si>
    <t>곰돌이 co. 글;홍종현 그림</t>
  </si>
  <si>
    <t>아이세움</t>
  </si>
  <si>
    <t>JD0000022830</t>
  </si>
  <si>
    <t>내일은 실험왕. 18, 식물의 대결</t>
  </si>
  <si>
    <t>아이세움:미래엔</t>
  </si>
  <si>
    <t>JD0000022831</t>
  </si>
  <si>
    <t>내일은 실험왕. 19, 지형의 대결</t>
  </si>
  <si>
    <t>JD0000022832</t>
  </si>
  <si>
    <t>내일은 실험왕. 20, 바다의 대결</t>
  </si>
  <si>
    <t>JD0000022833</t>
  </si>
  <si>
    <t>내일은 실험왕. 21, 변화의 대결</t>
  </si>
  <si>
    <t>스토리 a. 글;홍종현 그림</t>
  </si>
  <si>
    <t>JD0000022834</t>
  </si>
  <si>
    <t>명탐정 과학 수사 파일. 1, 영어 캠프의 비극</t>
  </si>
  <si>
    <t>황문숙 글;김이랑 그림</t>
  </si>
  <si>
    <t>JD0000022835</t>
  </si>
  <si>
    <t>명탐정 과학 수사 파일. 2, 금요일 골목길의 공포</t>
  </si>
  <si>
    <t>JD0000022836</t>
  </si>
  <si>
    <t>명탐정 과학 수사 파일. 3, 크리스마스의 악몽</t>
  </si>
  <si>
    <t>JD0000022837</t>
  </si>
  <si>
    <t>명탐정 과학 수사 파일. 4, 아이돌 스타의 비밀</t>
  </si>
  <si>
    <t>JD0000022838</t>
  </si>
  <si>
    <t>명탐정 과학 수사 파일. 5, 쇼핑몰의 미스터리</t>
  </si>
  <si>
    <t>JD0000022839</t>
  </si>
  <si>
    <t>명탐정 과학 수사 파일. 6, 수수께끼의 선물</t>
  </si>
  <si>
    <t>JD0000022840</t>
  </si>
  <si>
    <t>명탐정 과학 수사 파일. 7, 뜻밖의 증거</t>
  </si>
  <si>
    <t>JD0000022841</t>
  </si>
  <si>
    <t>명탐정 과학 수사 파일. 8, 말 못 하는 목격자</t>
  </si>
  <si>
    <t>JD0000022842</t>
  </si>
  <si>
    <t>지구는 어떻게 만들까? : 빅뱅에서 시작하는 지구 만들기 안내서</t>
  </si>
  <si>
    <t>스콧 포브스 글;조혜란 옮김</t>
  </si>
  <si>
    <t>JD0000022843</t>
  </si>
  <si>
    <t>아기 동물 : 커다랗게 펼쳐지는 사진책</t>
  </si>
  <si>
    <t>애플비편집부 지음;Jean Kim 번역</t>
  </si>
  <si>
    <t>애플비</t>
  </si>
  <si>
    <t>JD0000022844</t>
  </si>
  <si>
    <t>공룡 상상 : 화석이 보여 주는 공룡 이야기</t>
  </si>
  <si>
    <t>김남길 글;노기동 그림</t>
  </si>
  <si>
    <t>영교</t>
  </si>
  <si>
    <t>JD0000022845</t>
  </si>
  <si>
    <t>마법의 숫자</t>
  </si>
  <si>
    <t>아나 알론소 글;마리아 에스풀가 솔레 그림;유아가다 옮김</t>
  </si>
  <si>
    <t>알라딘북스·영림카디널</t>
  </si>
  <si>
    <t>JD0000022846</t>
  </si>
  <si>
    <t>별자리 대백과</t>
  </si>
  <si>
    <t>캐롤 스토트;자일스 스패로 [공]지음;이영민 옮김</t>
  </si>
  <si>
    <t>JD0000022847</t>
  </si>
  <si>
    <t>신나고 재미난 과학 학교 : 지구편-태풍, 지진, 쓰나미와 화산에 대해서</t>
  </si>
  <si>
    <t>히어르뜨 부까르트;마누엘 신투빈 [공]글씀;안 더 보더 그림;정신재 옮김</t>
  </si>
  <si>
    <t>주니어중앙:중앙북스</t>
  </si>
  <si>
    <t>JD0000022848</t>
  </si>
  <si>
    <t>큰개불알풀 이야기</t>
  </si>
  <si>
    <t>야자마 요시코 글·그림;최종호 옮김</t>
  </si>
  <si>
    <t>진선</t>
  </si>
  <si>
    <t>JD0000022849</t>
  </si>
  <si>
    <t>왜 남극이 녹으면 안 되나요?</t>
  </si>
  <si>
    <t>김지현 지음;손진주 그림</t>
  </si>
  <si>
    <t>JD0000022850</t>
  </si>
  <si>
    <t>대이동, 동물들의 위대한 도전</t>
  </si>
  <si>
    <t>정승원 글;김대규 그림</t>
  </si>
  <si>
    <t>창비</t>
  </si>
  <si>
    <t>JD0000022851</t>
  </si>
  <si>
    <t>아빠, 모든 동물들이 방귀는 뀌나요?</t>
  </si>
  <si>
    <t>일란 브렌만 글;이오닛 질버맨 그림;장지영 옮김</t>
  </si>
  <si>
    <t>책굽는가마</t>
  </si>
  <si>
    <t>JD0000022852</t>
  </si>
  <si>
    <t>수학세계에서 살아남기. 1</t>
  </si>
  <si>
    <t>류기운;이강숙 글;문정후 그림</t>
  </si>
  <si>
    <t>코믹컴:루덴스미디어</t>
  </si>
  <si>
    <t>JD0000022853</t>
  </si>
  <si>
    <t>수학세계에서 살아남기. 2, 0의 비밀</t>
  </si>
  <si>
    <t>JD0000022854</t>
  </si>
  <si>
    <t>수학세계에서 살아남기. 3, 도형의 나라</t>
  </si>
  <si>
    <t>류기운 글;이강숙 정보글;문정후 그림</t>
  </si>
  <si>
    <t>코믹컴</t>
  </si>
  <si>
    <t>JD0000022855</t>
  </si>
  <si>
    <t>수학세계에서 살아남기. 4, 입체 도형 광전사</t>
  </si>
  <si>
    <t>JD0000022856</t>
  </si>
  <si>
    <t>수학세계에서 살아남기. 5, 분수의 나라</t>
  </si>
  <si>
    <t>JD0000022857</t>
  </si>
  <si>
    <t>수학세계에서 살아남기. 6, 비와 비율</t>
  </si>
  <si>
    <t>JD0000022858</t>
  </si>
  <si>
    <t>나팔꽃</t>
  </si>
  <si>
    <t>아라이 마키 글·그림;사과나무 옮김</t>
  </si>
  <si>
    <t>크레용하우스</t>
  </si>
  <si>
    <t>JD0000022859</t>
  </si>
  <si>
    <t>(7마리 아기곰의) 숨바꼭질</t>
  </si>
  <si>
    <t>다카하시 카오리 글·그림</t>
  </si>
  <si>
    <t>키즈아이콘:아이코닉스엔터테인먼트</t>
  </si>
  <si>
    <t>JD0000022860</t>
  </si>
  <si>
    <t>가을이 왔어요</t>
  </si>
  <si>
    <t>찰스 기냐 글;애그 자트코우스카 그림;초록색연필 옮김</t>
  </si>
  <si>
    <t>JD0000022861</t>
  </si>
  <si>
    <t>JD0000022862</t>
  </si>
  <si>
    <t>꽃씨는 어디로 가는 걸까?</t>
  </si>
  <si>
    <t>박종진 글;정경희 그림</t>
  </si>
  <si>
    <t>JD0000022863</t>
  </si>
  <si>
    <t>달은 말이야</t>
  </si>
  <si>
    <t>JD0000022864</t>
  </si>
  <si>
    <t>지금 숲속에는</t>
  </si>
  <si>
    <t>프랭크 세라피니 구성;김유리 옮김</t>
  </si>
  <si>
    <t>JD0000022865</t>
  </si>
  <si>
    <t>유리수 상자의 비밀</t>
  </si>
  <si>
    <t>박현정 글;오윤화 그림</t>
  </si>
  <si>
    <t>파란자전거</t>
  </si>
  <si>
    <t>JD0000022866</t>
  </si>
  <si>
    <t>엄마, 과학 공부는 왜 해?</t>
  </si>
  <si>
    <t>김경선 지음;박연옥 그림</t>
  </si>
  <si>
    <t>팜파스</t>
  </si>
  <si>
    <t>JD0000022867</t>
  </si>
  <si>
    <t>용돈을 올려 주세요</t>
  </si>
  <si>
    <t>제니퍼 더슬링 글 ;다이엔 파미시아노 그림 ;박영주 옮김</t>
  </si>
  <si>
    <t>한국듀이</t>
  </si>
  <si>
    <t>JD0000022868</t>
  </si>
  <si>
    <t>(Wow 궁금해) 라바는 개미보다 똑똑할까?</t>
  </si>
  <si>
    <t>투바엔터테인먼트 원작;손승휘 글;미디어 S 그림</t>
  </si>
  <si>
    <t>JD0000022869</t>
  </si>
  <si>
    <t>내가 좋아하는 겨울 열매 = My favorite winter dried seed pods : 세밀화로 그린 어린이 자연 관찰</t>
  </si>
  <si>
    <t>공혜진 글·그림</t>
  </si>
  <si>
    <t>호박꽃:웅진씽크빅</t>
  </si>
  <si>
    <t>JD0000022870</t>
  </si>
  <si>
    <t>내가 좋아하는 곡식 = My favorite crops : 세밀화로 그린 어린이 곡식 도감</t>
  </si>
  <si>
    <t>이성실 글;김시영 그림</t>
  </si>
  <si>
    <t>JD0000022871</t>
  </si>
  <si>
    <t>내가 좋아하는 물풀 = My favorite auqatic plants : 세밀화로 그린 어린이 자연 관찰</t>
  </si>
  <si>
    <t>이영득 지음;김혜경 그림</t>
  </si>
  <si>
    <t>호박꽃</t>
  </si>
  <si>
    <t>JD0000022872</t>
  </si>
  <si>
    <t>내가 좋아하는 시냇가 = My favorite stream : 세밀화로 그린 어린이 자연 관찰</t>
  </si>
  <si>
    <t>김현태;손상호 글;이재은 그림</t>
  </si>
  <si>
    <t>JD0000022873</t>
  </si>
  <si>
    <t>마법의 요리책</t>
  </si>
  <si>
    <t>리퀴드 브레인 편</t>
  </si>
  <si>
    <t>JD0000022874</t>
  </si>
  <si>
    <t>이게 다 콩 때문이야!</t>
  </si>
  <si>
    <t>리퀴드브레인</t>
  </si>
  <si>
    <t>JD0000022875</t>
  </si>
  <si>
    <t>무엇으로 정할까?</t>
  </si>
  <si>
    <t>서보현 글;조미자 그림</t>
  </si>
  <si>
    <t>JD0000022876</t>
  </si>
  <si>
    <t>무엇을 탈까?</t>
  </si>
  <si>
    <t>홍윤희 글;안은진 그림</t>
  </si>
  <si>
    <t>JD0000022877</t>
  </si>
  <si>
    <t>아이 깨끗해!</t>
  </si>
  <si>
    <t>이미애 글;박수지 그림</t>
  </si>
  <si>
    <t>JD0000022878</t>
  </si>
  <si>
    <t>우리 몸은 소리상자</t>
  </si>
  <si>
    <t>권은경 글;조예정 그림</t>
  </si>
  <si>
    <t>JD0000022879</t>
  </si>
  <si>
    <t>우리는 짝궁 도구</t>
  </si>
  <si>
    <t>권은경 글;고근호;주홍 그림</t>
  </si>
  <si>
    <t>JD0000022880</t>
  </si>
  <si>
    <t>(꿈과 희망을) 하늘로! 우주로! = Dream and hope to sky! space! : 그림으로 이해하는 항공 우주</t>
  </si>
  <si>
    <t>박용한 지음</t>
  </si>
  <si>
    <t>심포지움</t>
  </si>
  <si>
    <t>JD0000022881</t>
  </si>
  <si>
    <t>수돗물은 어디서 왔을까?</t>
  </si>
  <si>
    <t>바즈켄 앙드레아시앙;줄리앙 르라 [공]글;클로드 들라포스 그림;김이정 옮김</t>
  </si>
  <si>
    <t>JD0000022882</t>
  </si>
  <si>
    <t>안돼! 안돼! 쿵!</t>
  </si>
  <si>
    <t>이경은 글;김유리 그림</t>
  </si>
  <si>
    <t>JD0000022883</t>
  </si>
  <si>
    <t>산에서 놀자 숲에서 놀자!</t>
  </si>
  <si>
    <t>유영소 글;정소영 그림</t>
  </si>
  <si>
    <t>문학동네</t>
  </si>
  <si>
    <t>JD0000022884</t>
  </si>
  <si>
    <t>내 똥으로 길렀어요!</t>
  </si>
  <si>
    <t>양혜원 글;박지훈 그림</t>
  </si>
  <si>
    <t>JD0000022885</t>
  </si>
  <si>
    <t>도구와 기계 250 백과</t>
  </si>
  <si>
    <t>조엘 르봄;글레망 르봄 [공]글;디디에 발리세빅 외 그림;그레고리 블로;뷔스테르 본;브뤼노 리앙스;자지;티노;권지현;조은미 [공]번역</t>
  </si>
  <si>
    <t>미세기</t>
  </si>
  <si>
    <t>JD0000022886</t>
  </si>
  <si>
    <t>이 닦기는 즐거워</t>
  </si>
  <si>
    <t>레슬 맥가이어 글;진 피젠 그림;김상미 옮김</t>
  </si>
  <si>
    <t>JD0000022887</t>
  </si>
  <si>
    <t>나 똥 쌌어</t>
  </si>
  <si>
    <t>미즈우치 기쿠오 글;하타 고시로 그림;김숙 옮김</t>
  </si>
  <si>
    <t>북뱅크</t>
  </si>
  <si>
    <t>JD0000022888</t>
  </si>
  <si>
    <t>백 살까지 산다고?</t>
  </si>
  <si>
    <t>야규 겐이치로 글·그림;이선아 옮김</t>
  </si>
  <si>
    <t>JD0000022889</t>
  </si>
  <si>
    <t>심장은 왜 뛸까?</t>
  </si>
  <si>
    <t>JD0000022890</t>
  </si>
  <si>
    <t>오줌을 연구하자</t>
  </si>
  <si>
    <t>JD0000022891</t>
  </si>
  <si>
    <t>엄마, 잘 갔다 와</t>
  </si>
  <si>
    <t>이재복 글·그림</t>
  </si>
  <si>
    <t>JD0000022892</t>
  </si>
  <si>
    <t>(빈센트의) 비밀 노트</t>
  </si>
  <si>
    <t>팀 키호 글;가이 프랜시스 그림;김영선 옮김</t>
  </si>
  <si>
    <t>사파리:이퍼블릭</t>
  </si>
  <si>
    <t>JD0000022893</t>
  </si>
  <si>
    <t>부릉부릉 씨의 자동차 백과</t>
  </si>
  <si>
    <t>마우리 쿠나스 글·그림;살미넨 따루 옮김</t>
  </si>
  <si>
    <t>살림어린이</t>
  </si>
  <si>
    <t>JD0000022894</t>
  </si>
  <si>
    <t>할아버지 사랑해요</t>
  </si>
  <si>
    <t>서울문화사 편;이동희 일러스트</t>
  </si>
  <si>
    <t>서울문화사</t>
  </si>
  <si>
    <t>JD0000022895</t>
  </si>
  <si>
    <t>(부릉부릉!) 자동차는 내 친구</t>
  </si>
  <si>
    <t>원성희 지음</t>
  </si>
  <si>
    <t>세발자전거</t>
  </si>
  <si>
    <t>JD0000022896</t>
  </si>
  <si>
    <t>맛있는데 왜 안돼! : 건강한 식생활로 나를 지키는 방법</t>
  </si>
  <si>
    <t>오주영 글;이인화 그림</t>
  </si>
  <si>
    <t>소담주니어</t>
  </si>
  <si>
    <t>JD0000022897</t>
  </si>
  <si>
    <t>엄마, 배고파 밥 주세요</t>
  </si>
  <si>
    <t>백명식 글·그림</t>
  </si>
  <si>
    <t>JD0000022898</t>
  </si>
  <si>
    <t>(떡볶이 아줌마의) 자연 탐구 생활 : 만화로 보는 텃밭 가꾸기</t>
  </si>
  <si>
    <t>석동연 글·그림</t>
  </si>
  <si>
    <t>스콜라:위즈덤하우스</t>
  </si>
  <si>
    <t>JD0000022899</t>
  </si>
  <si>
    <t>엄마를 돌려줘</t>
  </si>
  <si>
    <t>김애란 글;배현정 그림</t>
  </si>
  <si>
    <t>아이앤북</t>
  </si>
  <si>
    <t>JD0000022900</t>
  </si>
  <si>
    <t>골고루 먹어요!</t>
  </si>
  <si>
    <t>아이즐편집부 편</t>
  </si>
  <si>
    <t>아이즐books(미래엔)</t>
  </si>
  <si>
    <t>JD0000022901</t>
  </si>
  <si>
    <t>(코코몽2) 치카치카 이를 닦아요</t>
  </si>
  <si>
    <t>아이즐북스 편집부 편</t>
  </si>
  <si>
    <t>아이즐Books</t>
  </si>
  <si>
    <t>JD0000022902</t>
  </si>
  <si>
    <t>땅속에 누가 살아? : 명랑 생태 동화</t>
  </si>
  <si>
    <t>노정임 글;이경석 그림</t>
  </si>
  <si>
    <t>웃는돌고래:이후</t>
  </si>
  <si>
    <t>JD0000022903</t>
  </si>
  <si>
    <t>우리 마을 의사는 맨날 심심해</t>
  </si>
  <si>
    <t>김단비 글;홍원표 그림</t>
  </si>
  <si>
    <t>JD0000022904</t>
  </si>
  <si>
    <t>꽃섬</t>
  </si>
  <si>
    <t>정하섭 지음;김세현 그림</t>
  </si>
  <si>
    <t>웅진씽크빅</t>
  </si>
  <si>
    <t>JD0000022905</t>
  </si>
  <si>
    <t>먼지가 지구 한 바퀴를 돌아요</t>
  </si>
  <si>
    <t>윤순창 글;소복이 그림</t>
  </si>
  <si>
    <t>JD0000022906</t>
  </si>
  <si>
    <t>물 마시다 배탈 난 호랑이의 물 이야기</t>
  </si>
  <si>
    <t>초등과학논술교사모임 지음;민재회 그림</t>
  </si>
  <si>
    <t>종이책</t>
  </si>
  <si>
    <t>JD0000022907</t>
  </si>
  <si>
    <t>쌩쌩 고구마 자동차</t>
  </si>
  <si>
    <t>간베 아야코 글·그림;김숙 옮김</t>
  </si>
  <si>
    <t>JD0000022908</t>
  </si>
  <si>
    <t>젓가락</t>
  </si>
  <si>
    <t>에이미 크루즈 로젠탈 글;스콧 매군 그림;이승숙 옮김</t>
  </si>
  <si>
    <t>지경사</t>
  </si>
  <si>
    <t>JD0000022909</t>
  </si>
  <si>
    <t>내일 또 만나</t>
  </si>
  <si>
    <t>미셸 로빈슨 글;닉 이스트 그림;글맛 옮김</t>
  </si>
  <si>
    <t>JD0000022910</t>
  </si>
  <si>
    <t>느려도 괜찮아</t>
  </si>
  <si>
    <t>세바스티앙 브라운 글·그림;아이생각 옮김</t>
  </si>
  <si>
    <t>JD0000022911</t>
  </si>
  <si>
    <t>릴리야, 뭐하니?</t>
  </si>
  <si>
    <t>루시 알봉 글·그림;글맛 옮김</t>
  </si>
  <si>
    <t>JD0000022912</t>
  </si>
  <si>
    <t>바니의 아작아작 채소 먹기</t>
  </si>
  <si>
    <t>마이클 달 글;오리올 비달 그림;초록색연필 옮김</t>
  </si>
  <si>
    <t>JD0000022913</t>
  </si>
  <si>
    <t>버스의 다섯 번째 바퀴</t>
  </si>
  <si>
    <t>신지원 글;김영곤 그림</t>
  </si>
  <si>
    <t>JD0000022914</t>
  </si>
  <si>
    <t>엘리베이터가 열리면?</t>
  </si>
  <si>
    <t>멜 글;엘빈 그림;공상공장 옮김</t>
  </si>
  <si>
    <t>JD0000022915</t>
  </si>
  <si>
    <t>통과 뿌뿌</t>
  </si>
  <si>
    <t>세바스티앙 브라운 글·그림;공상공장 옮김</t>
  </si>
  <si>
    <t>JD0000022916</t>
  </si>
  <si>
    <t>모든 걸 타고 타타타</t>
  </si>
  <si>
    <t>백은하 글;백명식 그림</t>
  </si>
  <si>
    <t>킨더주니어:킨더랜드</t>
  </si>
  <si>
    <t>JD0000022917</t>
  </si>
  <si>
    <t>타투와 파투 기상천외한 기계들</t>
  </si>
  <si>
    <t>아이노 하부카이넨;사미 토이보넨 [공]글·그림;이지영 옮김</t>
  </si>
  <si>
    <t>파인앤굿</t>
  </si>
  <si>
    <t>JD0000022918</t>
  </si>
  <si>
    <t>신기한 로봇 이야기 30</t>
  </si>
  <si>
    <t>장수하늘소 지음;우디 크리에이티브스 그림</t>
  </si>
  <si>
    <t>하늘을나는교실</t>
  </si>
  <si>
    <t>JD0000022919</t>
  </si>
  <si>
    <t>명품 가방 속으로 악어들이 사라졌어 : 세계의 멸종 위기 동물</t>
  </si>
  <si>
    <t>유다정 글;민경미 그림</t>
  </si>
  <si>
    <t>학고재</t>
  </si>
  <si>
    <t>JD0000022920</t>
  </si>
  <si>
    <t>우리아기 힘자랑</t>
  </si>
  <si>
    <t>윤지선 글;박찬우 그림</t>
  </si>
  <si>
    <t>고인돌</t>
  </si>
  <si>
    <t>JD0000022921</t>
  </si>
  <si>
    <t>괴물이 나타나면</t>
  </si>
  <si>
    <t>김정희 글;해신 그림</t>
  </si>
  <si>
    <t>JD0000022922</t>
  </si>
  <si>
    <t>날쌔고 튼튼한 생쥐가족</t>
  </si>
  <si>
    <t>최옥임 글;손정연 그림</t>
  </si>
  <si>
    <t>JD0000022923</t>
  </si>
  <si>
    <t>미술관이 살아있다!</t>
  </si>
  <si>
    <t>최옥임 글;문지후 그림</t>
  </si>
  <si>
    <t>JD0000022924</t>
  </si>
  <si>
    <t>악어야,먹는걸 조심해!</t>
  </si>
  <si>
    <t>김정희 글;신동준 그림</t>
  </si>
  <si>
    <t>JD0000022925</t>
  </si>
  <si>
    <t>(더 멀리 더 높이 더 빨리) 스포츠 과학</t>
  </si>
  <si>
    <t>김은선 글씀;정중호 그림</t>
  </si>
  <si>
    <t>JD0000022926</t>
  </si>
  <si>
    <t>나무들의 밤</t>
  </si>
  <si>
    <t>바주 샴;두르가 바이;람 싱 우르베티 [공]지음;이상희 옮김</t>
  </si>
  <si>
    <t>JD0000022927</t>
  </si>
  <si>
    <t>(한눈에 반한) 민화 미술관 : 까치 호랑이에서 책거리까지</t>
  </si>
  <si>
    <t>장세현 글</t>
  </si>
  <si>
    <t>JD0000022928</t>
  </si>
  <si>
    <t>튼튼씨의 스포츠 백과</t>
  </si>
  <si>
    <t>JD0000022929</t>
  </si>
  <si>
    <t>영화 아는 만큼 보여요 : 영화의 역사와 제작 과정, 3D 영화의 특성까지</t>
  </si>
  <si>
    <t>이남진 글;홍기한 그림</t>
  </si>
  <si>
    <t>상수리:맥스퍼블리싱</t>
  </si>
  <si>
    <t>JD0000022930</t>
  </si>
  <si>
    <t>(내 아이의 수리력을 깨워주는) 수학 종이접기</t>
  </si>
  <si>
    <t>배혜진 지음</t>
  </si>
  <si>
    <t>BM성안당</t>
  </si>
  <si>
    <t>JD0000022931</t>
  </si>
  <si>
    <t>박태환, 세계의 물살을 가른 마린보이</t>
  </si>
  <si>
    <t>임진국 지음;이정헌 그림</t>
  </si>
  <si>
    <t>스코프</t>
  </si>
  <si>
    <t>JD0000022932</t>
  </si>
  <si>
    <t>(스포츠 전략 과학상식) 마구마구 야구왕. 2, 야구는 작용·반작용</t>
  </si>
  <si>
    <t>작은하마 글;김신중 그림</t>
  </si>
  <si>
    <t>JD0000022933</t>
  </si>
  <si>
    <t>(Maple story) 메이플 홈런왕. 16, 무릉도원의 대격돌</t>
  </si>
  <si>
    <t>현보아트스쿨 글·그림</t>
  </si>
  <si>
    <t>재미북스</t>
  </si>
  <si>
    <t>JD0000022934</t>
  </si>
  <si>
    <t>꿈을 향해 뛰어라. 5 : 박지성이 들려주는 대한민국 국가대표 '캡틴 박'편 세계 최정상을 향한 도전 이야기</t>
  </si>
  <si>
    <t>박지성 원작;전세훈 만화</t>
  </si>
  <si>
    <t>주니어RHK(알에이치코리아)</t>
  </si>
  <si>
    <t>JD0000022935</t>
  </si>
  <si>
    <t>춤이 궁금하다고? 판당고에게 물어봐!</t>
  </si>
  <si>
    <t>레이첼 스월즈 글·그림;송호빈 옮김</t>
  </si>
  <si>
    <t>주니어북스</t>
  </si>
  <si>
    <t>JD0000022936</t>
  </si>
  <si>
    <t>조상들의 지혜가 담긴 우리 건축의 멋</t>
  </si>
  <si>
    <t>이용재 글·사진;김영희 그림</t>
  </si>
  <si>
    <t>JD0000022937</t>
  </si>
  <si>
    <t>자전거 탈 줄 아니?</t>
  </si>
  <si>
    <t>김진완 글;이정현 그림</t>
  </si>
  <si>
    <t>책읽는곰</t>
  </si>
  <si>
    <t>JD0000022938</t>
  </si>
  <si>
    <t>테일즈런너 영어킹왕짱. 21, E의 탈출</t>
  </si>
  <si>
    <t>이강안 글;장성민 그림</t>
  </si>
  <si>
    <t>JD0000022939</t>
  </si>
  <si>
    <t>의기양양 고사성어 어휘력 일취월장 : 어휘력을 키워주는 알짜배기 고사성어 30</t>
  </si>
  <si>
    <t>세사람 글;백명식 그림</t>
  </si>
  <si>
    <t>다봄</t>
  </si>
  <si>
    <t>JD0000022940</t>
  </si>
  <si>
    <t>(동화로 읽는) 1학년 땅 짚고 한자</t>
  </si>
  <si>
    <t>권혜정 글;이상미 그림</t>
  </si>
  <si>
    <t>문공사</t>
  </si>
  <si>
    <t>JD0000022941</t>
  </si>
  <si>
    <t>(Maplestory) 영어일기짱. 1, 학교에서 살아남기</t>
  </si>
  <si>
    <t>김원식 글;양선모 그림</t>
  </si>
  <si>
    <t>JD0000022942</t>
  </si>
  <si>
    <t>세종의 비밀 프로젝트, 훈민정음 파헤치기</t>
  </si>
  <si>
    <t>권기경 글;엄영순 그림</t>
  </si>
  <si>
    <t>JD0000022943</t>
  </si>
  <si>
    <t>할아버지, 밥 먹어! : 우리 아이 첫 높임말 책</t>
  </si>
  <si>
    <t>윤정 글;백은희 그림</t>
  </si>
  <si>
    <t>푸른숲</t>
  </si>
  <si>
    <t>JD0000022944</t>
  </si>
  <si>
    <t>(영어 마법전사) 헤르메스. 1, 사라진 코델리아</t>
  </si>
  <si>
    <t>Jeff Lee 시나리오;Frederic Pillot 캐릭터디자인;장영준 영어콘텐츠</t>
  </si>
  <si>
    <t>JD0000022945</t>
  </si>
  <si>
    <t>(영어 마법전사) 헤르메스. 2, 대마왕의 방패</t>
  </si>
  <si>
    <t>JD0000022946</t>
  </si>
  <si>
    <t>Chop!, Munch!, Chew!</t>
  </si>
  <si>
    <t>by Karen Wallace;illustrated by Ross Collins</t>
  </si>
  <si>
    <t>Watts</t>
  </si>
  <si>
    <t>JD0000022947</t>
  </si>
  <si>
    <t>Hiding</t>
  </si>
  <si>
    <t>by Karen Wallace;illustrated by Charles Fuge</t>
  </si>
  <si>
    <t>JD0000022948</t>
  </si>
  <si>
    <t>Is a blue whale thebiggest thing there is?</t>
  </si>
  <si>
    <t>by Robert E. Wells</t>
  </si>
  <si>
    <t>JD0000022949</t>
  </si>
  <si>
    <t>It takes two</t>
  </si>
  <si>
    <t>JD0000022950</t>
  </si>
  <si>
    <t>Let's Build a House</t>
  </si>
  <si>
    <t>by Mick Manning;illustrated by Brita Granstrom</t>
  </si>
  <si>
    <t>JD0000022951</t>
  </si>
  <si>
    <t>My Body,Your Body</t>
  </si>
  <si>
    <t>JD0000022952</t>
  </si>
  <si>
    <t>Out there somewhere it's time to...</t>
  </si>
  <si>
    <t>JD0000022953</t>
  </si>
  <si>
    <t>Splish,Splash,Splosh!</t>
  </si>
  <si>
    <t>JD0000022954</t>
  </si>
  <si>
    <t>Stone Age,Bone Age!</t>
  </si>
  <si>
    <t>JD0000022955</t>
  </si>
  <si>
    <t>Supermum</t>
  </si>
  <si>
    <t>JD0000022956</t>
  </si>
  <si>
    <t>The world is full of babies!</t>
  </si>
  <si>
    <t>JD0000022957</t>
  </si>
  <si>
    <t>Tick-Tock</t>
  </si>
  <si>
    <t>by James Dunbar</t>
  </si>
  <si>
    <t>JD0000022958</t>
  </si>
  <si>
    <t>Yum-yum!</t>
  </si>
  <si>
    <t>JD0000022959</t>
  </si>
  <si>
    <t>Wild and free</t>
  </si>
  <si>
    <t>JD0000022960</t>
  </si>
  <si>
    <t>When I was young</t>
  </si>
  <si>
    <t>JD0000022961</t>
  </si>
  <si>
    <t>Wheels keep turning</t>
  </si>
  <si>
    <t>JD0000022962</t>
  </si>
  <si>
    <t>What's up?</t>
  </si>
  <si>
    <t>JD0000022963</t>
  </si>
  <si>
    <t>What's under the bed?</t>
  </si>
  <si>
    <t>JD0000022964</t>
  </si>
  <si>
    <t>What if?</t>
  </si>
  <si>
    <t>JD0000022965</t>
  </si>
  <si>
    <t>Wash,Scrub,Brush!</t>
  </si>
  <si>
    <t>JD0000022966</t>
  </si>
  <si>
    <t>(When I'm feeling) loved</t>
  </si>
  <si>
    <t>by Trace Moroney</t>
  </si>
  <si>
    <t>Five Mile Press</t>
  </si>
  <si>
    <t>JD0000022967</t>
  </si>
  <si>
    <t>(When I'm feeling) Jealous</t>
  </si>
  <si>
    <t>Five Mile</t>
  </si>
  <si>
    <t>JD0000022968</t>
  </si>
  <si>
    <t>(When I'm feeling) Kind</t>
  </si>
  <si>
    <t>JD0000022969</t>
  </si>
  <si>
    <t>(When I'm feeling) Lonely</t>
  </si>
  <si>
    <t>JD0000022970</t>
  </si>
  <si>
    <t>(When I'm feeling) Sad</t>
  </si>
  <si>
    <t>JD0000022971</t>
  </si>
  <si>
    <t>(When I'm feeling) Angry</t>
  </si>
  <si>
    <t>JD0000022972</t>
  </si>
  <si>
    <t>(When I'm feeling) Scared</t>
  </si>
  <si>
    <t>JD0000022973</t>
  </si>
  <si>
    <t>(When I'm feeling) Happy</t>
  </si>
  <si>
    <t>JD0000022974</t>
  </si>
  <si>
    <t>고양이가 물어간 엄마</t>
  </si>
  <si>
    <t>이종은 글;박보라 그림</t>
  </si>
  <si>
    <t>가교</t>
  </si>
  <si>
    <t>JD0000022975</t>
  </si>
  <si>
    <t>미술관에서 생긴 일</t>
  </si>
  <si>
    <t>막달레나 기라오 쥘리앙 지음;엘사 위에 그림;이서용 옮김</t>
  </si>
  <si>
    <t>개암나무</t>
  </si>
  <si>
    <t>JD0000022976</t>
  </si>
  <si>
    <t>예쁜 괴물</t>
  </si>
  <si>
    <t>카르망 마루아 글;안느 빌뇌브 그림;이정주 옮김</t>
  </si>
  <si>
    <t>JD0000022977</t>
  </si>
  <si>
    <t>우리는 나무 지킴이</t>
  </si>
  <si>
    <t>달린 베일리 비어드 지음;헤더 메이언 그림;홍주진 옮김</t>
  </si>
  <si>
    <t>JD0000022978</t>
  </si>
  <si>
    <t>양철병사 토마스</t>
  </si>
  <si>
    <t>토마스 플라이쉬만 지음;윤미성 옮김</t>
  </si>
  <si>
    <t>거인</t>
  </si>
  <si>
    <t>JD0000022979</t>
  </si>
  <si>
    <t>초등학생들의 얼른 부자되기 클럽. 2</t>
  </si>
  <si>
    <t>로즈 임페이 글;스티브 심스 그림;노은정 옮김</t>
  </si>
  <si>
    <t>JD0000022980</t>
  </si>
  <si>
    <t>마르타와 사라진 물 : 세상의 모든 물을 누군가 독차지한다면</t>
  </si>
  <si>
    <t>엠마누엘라 부솔라티 지음;유지연 옮김</t>
  </si>
  <si>
    <t>고래이야기</t>
  </si>
  <si>
    <t>JD0000022981</t>
  </si>
  <si>
    <t>광화문 해치의 모험</t>
  </si>
  <si>
    <t>박수현 글·그림</t>
  </si>
  <si>
    <t>JD0000022982</t>
  </si>
  <si>
    <t>늑대할배산밭 참외서리</t>
  </si>
  <si>
    <t>이호철 글;장호 그림</t>
  </si>
  <si>
    <t>JD0000022983</t>
  </si>
  <si>
    <t>강아지 복실이</t>
  </si>
  <si>
    <t>한미호 글;김유대 그림</t>
  </si>
  <si>
    <t>국민서관</t>
  </si>
  <si>
    <t>JD0000022984</t>
  </si>
  <si>
    <t>난 남달라!</t>
  </si>
  <si>
    <t>김준영 글·그림</t>
  </si>
  <si>
    <t>JD0000022985</t>
  </si>
  <si>
    <t>못 참아 못 참아 더 이상 못 참겠어</t>
  </si>
  <si>
    <t>쓰치야 후지오 지음;정은지 옮김</t>
  </si>
  <si>
    <t>JD0000022986</t>
  </si>
  <si>
    <t>아빠와 나</t>
  </si>
  <si>
    <t>세르주 블로크 글·그림;이정주 옮김</t>
  </si>
  <si>
    <t>JD0000022987</t>
  </si>
  <si>
    <t>용감한 기사의모험</t>
  </si>
  <si>
    <t>델피튜 슈드뤼 글;길미향 옮김</t>
  </si>
  <si>
    <t>JD0000022988</t>
  </si>
  <si>
    <t>키워드로 쉽게 읽는 고전 : 초등학생을 위한 새로운 고전 읽기법</t>
  </si>
  <si>
    <t>최유성 지음;김혜영 그림</t>
  </si>
  <si>
    <t>글담어린이</t>
  </si>
  <si>
    <t>JD0000022989</t>
  </si>
  <si>
    <t>달토끼의 선물</t>
  </si>
  <si>
    <t>문승연 글·그림</t>
  </si>
  <si>
    <t>길벗어린이</t>
  </si>
  <si>
    <t>JD0000022990</t>
  </si>
  <si>
    <t>어린왕자 : 광석족 도시</t>
  </si>
  <si>
    <t>카트린느 크노 지음;길해옥;최나영 옮김</t>
  </si>
  <si>
    <t>여백미디어</t>
  </si>
  <si>
    <t>JD0000022991</t>
  </si>
  <si>
    <t>어린왕자 : 불새</t>
  </si>
  <si>
    <t>JD0000022992</t>
  </si>
  <si>
    <t>어린왕자 : 유포니의 비밀</t>
  </si>
  <si>
    <t>JD0000022993</t>
  </si>
  <si>
    <t>어린왕자 : 제퍼의 파이프오르간</t>
  </si>
  <si>
    <t>JD0000022994</t>
  </si>
  <si>
    <t>해적 고양이</t>
  </si>
  <si>
    <t>피터 벤틀리 글;짐 필드 그림;김서정 옮김</t>
  </si>
  <si>
    <t>꿈꾸는 꼬리연</t>
  </si>
  <si>
    <t>JD0000022995</t>
  </si>
  <si>
    <t>떠돌이 개 똘이의 일생</t>
  </si>
  <si>
    <t>김규림 글;최라톤 그림</t>
  </si>
  <si>
    <t>꿈꾸는날개</t>
  </si>
  <si>
    <t>JD0000022996</t>
  </si>
  <si>
    <t>쌍둥이와 호빵씨</t>
  </si>
  <si>
    <t>김규림 글;하치 그림</t>
  </si>
  <si>
    <t>JD0000022997</t>
  </si>
  <si>
    <t>떡볶이 괴물 추태후</t>
  </si>
  <si>
    <t>서석영 글;오승원 그림</t>
  </si>
  <si>
    <t>꿈소담이</t>
  </si>
  <si>
    <t>JD0000022998</t>
  </si>
  <si>
    <t>도대체 누가 와플을 먹은 걸까?</t>
  </si>
  <si>
    <t>션 테일러 글;한나 쇼 그림;김지연 옮김</t>
  </si>
  <si>
    <t>예원미디어</t>
  </si>
  <si>
    <t>JD0000022999</t>
  </si>
  <si>
    <t>과자를 만드는 집</t>
  </si>
  <si>
    <t>강무지 글;송혜선 그림</t>
  </si>
  <si>
    <t>JD0000023000</t>
  </si>
  <si>
    <t>꼬마 발명가 앤드루의 모험</t>
  </si>
  <si>
    <t>도리스 번 글·그림;이원경 옮김</t>
  </si>
  <si>
    <t>JD0000023001</t>
  </si>
  <si>
    <t>꿈틀꿈틀 왕지렁이</t>
  </si>
  <si>
    <t>줄리아 도널드슨 글;악셀 셰플러 그림;노은정 옮김</t>
  </si>
  <si>
    <t>JD0000023002</t>
  </si>
  <si>
    <t>나 겁쟁이 아니거든!</t>
  </si>
  <si>
    <t>에드워드 마셜 글;제임스 마셜 그림;노은정 옮김</t>
  </si>
  <si>
    <t>JD0000023003</t>
  </si>
  <si>
    <t>동생이 호박으로 변했어!</t>
  </si>
  <si>
    <t>제임스 마셜 글·그림;노은정 옮김</t>
  </si>
  <si>
    <t>JD0000023004</t>
  </si>
  <si>
    <t>(마녀 위니의) 공룡 소동</t>
  </si>
  <si>
    <t>밸러리 토머스 글;코키 폴 그림;노은정 옮김</t>
  </si>
  <si>
    <t>JD0000023005</t>
  </si>
  <si>
    <t>빅 네이트. 3, 완벽남 아터를 이겨라!</t>
  </si>
  <si>
    <t>링컨 퍼스 글·그림;노은정 옮김</t>
  </si>
  <si>
    <t>JD0000023006</t>
  </si>
  <si>
    <t>빅 네이트. 4, 이건 자존심 문제야!</t>
  </si>
  <si>
    <t>JD0000023007</t>
  </si>
  <si>
    <t>뿔, 뿔, 두꺼비 뿔</t>
  </si>
  <si>
    <t>김진경 글;홍미현 그림</t>
  </si>
  <si>
    <t>JD0000023008</t>
  </si>
  <si>
    <t>선생님이 뭐가 어려워!</t>
  </si>
  <si>
    <t>JD0000023009</t>
  </si>
  <si>
    <t>슈퍼 걸스!. 10, 우리만의 잠옷 파티</t>
  </si>
  <si>
    <t>로완 맥올레이 지음;소니아 딕슨 그림;노은정 옮김</t>
  </si>
  <si>
    <t>JD0000023010</t>
  </si>
  <si>
    <t>트레몰로 : 못 말리는 음악가</t>
  </si>
  <si>
    <t>토미 웅거러 글·그림;이현정 옮김</t>
  </si>
  <si>
    <t>JD0000023011</t>
  </si>
  <si>
    <t>하얀 곰 까만 암소</t>
  </si>
  <si>
    <t>마르친 브릭췬스키 글;그라슈카 랑게 그림;이지원 옮김</t>
  </si>
  <si>
    <t>JD0000023012</t>
  </si>
  <si>
    <t>딩크던컨과 미스터리 수사대. 4, 미스터리작가 납치사건</t>
  </si>
  <si>
    <t>론 로이 글;존 스티븐 거니 그림;윤영 옮김</t>
  </si>
  <si>
    <t>JD0000023013</t>
  </si>
  <si>
    <t>강아지 주인을 찾습니다!</t>
  </si>
  <si>
    <t>미라 로베 글;수지 바이겔 그림;윤혜정 옮김</t>
  </si>
  <si>
    <t>샘터</t>
  </si>
  <si>
    <t>JD0000023014</t>
  </si>
  <si>
    <t>암흑식당</t>
  </si>
  <si>
    <t>박성우 글;고지영 그림</t>
  </si>
  <si>
    <t>JD0000023015</t>
  </si>
  <si>
    <t>배꽃마을의 비밀</t>
  </si>
  <si>
    <t>송연 글;양상용 그림</t>
  </si>
  <si>
    <t>JD0000023016</t>
  </si>
  <si>
    <t>종이칼</t>
  </si>
  <si>
    <t>김병규 글;윤희동 그림</t>
  </si>
  <si>
    <t>JD0000023017</t>
  </si>
  <si>
    <t>(노래하는 강아지) 폭시</t>
  </si>
  <si>
    <t>인그리 돌레르;에드거 파린 돌레르 [공]그림·글;홍연미 옮김</t>
  </si>
  <si>
    <t>JD0000023018</t>
  </si>
  <si>
    <t>별이 뜨는 꽃담</t>
  </si>
  <si>
    <t>유타루 글;김효은 그림</t>
  </si>
  <si>
    <t>JD0000023019</t>
  </si>
  <si>
    <t>빨간 목도리</t>
  </si>
  <si>
    <t>김영미 글;윤지회 그림</t>
  </si>
  <si>
    <t>JD0000023020</t>
  </si>
  <si>
    <t>스스와 네루네루</t>
  </si>
  <si>
    <t>이라이 료지 글;김난주 옮김</t>
  </si>
  <si>
    <t>JD0000023021</t>
  </si>
  <si>
    <t>우리들의 특별한 버스</t>
  </si>
  <si>
    <t>밥 그레이엄 글·그림;엄혜숙 옮김</t>
  </si>
  <si>
    <t>JD0000023022</t>
  </si>
  <si>
    <t>주머니쥐 할아버지가 들려주는 지혜로운 고양이 이야기</t>
  </si>
  <si>
    <t>T.S. 엘리엇 글;악셀 셰플러 그림;이주희 옮김</t>
  </si>
  <si>
    <t>JD0000023023</t>
  </si>
  <si>
    <t>한밤의 자동차 경주</t>
  </si>
  <si>
    <t>인그리;에드거 파린 돌레르 [공]글·그림;홍연미 옮김</t>
  </si>
  <si>
    <t>JD0000023024</t>
  </si>
  <si>
    <t>피터의 보름달접시</t>
  </si>
  <si>
    <t>제럴딘 머코크런 글;마리아 닐슨 그림;김영선 옮김</t>
  </si>
  <si>
    <t>아르볼</t>
  </si>
  <si>
    <t>JD0000023025</t>
  </si>
  <si>
    <t>그리는 동안 어느새</t>
  </si>
  <si>
    <t>이진경 그림;곽영권 글</t>
  </si>
  <si>
    <t>아지</t>
  </si>
  <si>
    <t>JD0000023026</t>
  </si>
  <si>
    <t>콩쥐 팥쥐</t>
  </si>
  <si>
    <t>애플비북스 [편];정미선 그림</t>
  </si>
  <si>
    <t>JD0000023027</t>
  </si>
  <si>
    <t>찢어진 가방</t>
  </si>
  <si>
    <t>김형준 글씀;김경지 그림</t>
  </si>
  <si>
    <t>어린이아현</t>
  </si>
  <si>
    <t>JD0000023028</t>
  </si>
  <si>
    <t>뚱뚱왕국과 빼빼공화국</t>
  </si>
  <si>
    <t>앙드레 모루아 지음;장 브륄레르 그림;이선희 옮김</t>
  </si>
  <si>
    <t>에디터</t>
  </si>
  <si>
    <t>JD0000023029</t>
  </si>
  <si>
    <t>누구나 할 수 있는 멋진 마법</t>
  </si>
  <si>
    <t>얀비루 야스코 글·그림;송소영 옮김</t>
  </si>
  <si>
    <t>JD0000023030</t>
  </si>
  <si>
    <t>허브 정원의 피아노 레슨</t>
  </si>
  <si>
    <t>안비루 야스코 글·그림;송소영 옮김</t>
  </si>
  <si>
    <t>JD0000023031</t>
  </si>
  <si>
    <t>메리다와 마법의 숲 : Movie Storybook</t>
  </si>
  <si>
    <t>예림아이편집부 편</t>
  </si>
  <si>
    <t>예림아이</t>
  </si>
  <si>
    <t>JD0000023032</t>
  </si>
  <si>
    <t>인기짱 탐구노트. 3, 버킷리스트로 알아보는 인기와 우정의 상관관계 연구</t>
  </si>
  <si>
    <t>에이미 이그나토프 글·그림;양진성 옮김</t>
  </si>
  <si>
    <t>오즈의마법사</t>
  </si>
  <si>
    <t>JD0000023033</t>
  </si>
  <si>
    <t>인기짱 탐구노트. 4, 미국 횡단 여행을 통해 본 가족의 의미 연구</t>
  </si>
  <si>
    <t>JD0000023034</t>
  </si>
  <si>
    <t>내 손은 물방울 놀이터 : 어린이 시 모음</t>
  </si>
  <si>
    <t>이주영 엮음;오동 그림</t>
  </si>
  <si>
    <t>우리교육</t>
  </si>
  <si>
    <t>JD0000023035</t>
  </si>
  <si>
    <t>내 친구 몽실이</t>
  </si>
  <si>
    <t>김단비 글;김달님 그림</t>
  </si>
  <si>
    <t>JD0000023036</t>
  </si>
  <si>
    <t>사이보리아. 1, 갈레노의 귀환</t>
  </si>
  <si>
    <t>피에르도메니코 바칼라리오 글;김효정 옮김</t>
  </si>
  <si>
    <t>JD0000023037</t>
  </si>
  <si>
    <t>세탁소 아저씨의 꿈</t>
  </si>
  <si>
    <t>엄혜숙 글;이광익 그림</t>
  </si>
  <si>
    <t>JD0000023038</t>
  </si>
  <si>
    <t>환상 동물 클럽. 2, 네스 호의 괴물</t>
  </si>
  <si>
    <t>알베르토 멜리스 지음;야코프 브루노 그림;이승수 옮김</t>
  </si>
  <si>
    <t>JD0000023039</t>
  </si>
  <si>
    <t>환상 동물 클럽. 3, 드래건의 진주</t>
  </si>
  <si>
    <t>JD0000023040</t>
  </si>
  <si>
    <t>수박</t>
  </si>
  <si>
    <t>허은순 글·사진;이정현 그림</t>
  </si>
  <si>
    <t>은나팔:현암사</t>
  </si>
  <si>
    <t>JD0000023041</t>
  </si>
  <si>
    <t>쾌걸 조로리. 22, 부자 되기</t>
  </si>
  <si>
    <t>하라 유타카 글·그림;오용택 옮김</t>
  </si>
  <si>
    <t>을파소:북이십일</t>
  </si>
  <si>
    <t>JD0000023042</t>
  </si>
  <si>
    <t>쾌걸 조로리. 23, 위험한 게임</t>
  </si>
  <si>
    <t>JD0000023043</t>
  </si>
  <si>
    <t>쾌걸 조로리. 24, 공포의 보물 찾기</t>
  </si>
  <si>
    <t>을파소:북이십일 을파소</t>
  </si>
  <si>
    <t>JD0000023044</t>
  </si>
  <si>
    <t>쾌걸 조로리. 25, 지구 최후의 날</t>
  </si>
  <si>
    <t>JD0000023045</t>
  </si>
  <si>
    <t>타이거 수사대 T.I.4. 4-2, 사건명#-레드 볼의 비밀 : 시즌 4</t>
  </si>
  <si>
    <t>토마스 브레치나 글;나오미 페아른 그림;이동준;권소아 [공]옮김</t>
  </si>
  <si>
    <t>조선Books:조선에듀케이션</t>
  </si>
  <si>
    <t>JD0000023046</t>
  </si>
  <si>
    <t>타이거 수사대 T.I.4. 4-3, 사건명#-유령의 숲에 나타난 외계인 : 시즌 4</t>
  </si>
  <si>
    <t>JD0000023047</t>
  </si>
  <si>
    <t>꺼벙이 억수와 축구왕</t>
  </si>
  <si>
    <t>윤수천 글;원유미 그림</t>
  </si>
  <si>
    <t>JD0000023048</t>
  </si>
  <si>
    <t>이유는 백만 가지</t>
  </si>
  <si>
    <t>최은영 글;김은경 그림</t>
  </si>
  <si>
    <t>JD0000023049</t>
  </si>
  <si>
    <t>집 바꾸기 게임</t>
  </si>
  <si>
    <t>안미연 글;조예선 그림</t>
  </si>
  <si>
    <t>JD0000023050</t>
  </si>
  <si>
    <t>말할까? 말까?</t>
  </si>
  <si>
    <t>하이케 브란트 글;수잔네 괴리히 그림;송소민 옮김</t>
  </si>
  <si>
    <t>JD0000023051</t>
  </si>
  <si>
    <t>(톰 게이츠의) 천재적 핑계</t>
  </si>
  <si>
    <t>리즈 피숀 글·그림;강성순 옮김</t>
  </si>
  <si>
    <t>JD0000023052</t>
  </si>
  <si>
    <t>거꾸로 쌤</t>
  </si>
  <si>
    <t>권타오 글;이덕화 그림</t>
  </si>
  <si>
    <t>JD0000023053</t>
  </si>
  <si>
    <t>(라이트 삼총사와) 새로운 암호</t>
  </si>
  <si>
    <t>블루 발리엣 글;브렛 헬퀴스트 그림;김난령 옮김</t>
  </si>
  <si>
    <t>JD0000023054</t>
  </si>
  <si>
    <t>아가사 미스터리. 3, 왕의 검을 찾아라</t>
  </si>
  <si>
    <t>스티브 스티븐슨 지음;스테파노 투르코니 그림;이승수 옮김</t>
  </si>
  <si>
    <t>주니어발전소</t>
  </si>
  <si>
    <t>JD0000023055</t>
  </si>
  <si>
    <t>안녕이라고 말하기 전에</t>
  </si>
  <si>
    <t>가브리엘라 암브로시오 지음;이현경 옮김</t>
  </si>
  <si>
    <t>JD0000023056</t>
  </si>
  <si>
    <t>빨강 파랑 강아지 공</t>
  </si>
  <si>
    <t>크리스 라쉬카 그림</t>
  </si>
  <si>
    <t>지양어린이·키드북</t>
  </si>
  <si>
    <t>JD0000023057</t>
  </si>
  <si>
    <t>흉내쟁이 곰 파랑이가 쿵!</t>
  </si>
  <si>
    <t>엘리 샌달 지음;정경임 옮김</t>
  </si>
  <si>
    <t>지양어린이:키드북</t>
  </si>
  <si>
    <t>JD0000023058</t>
  </si>
  <si>
    <t>엄마 계시냐</t>
  </si>
  <si>
    <t>민경정 지음;남궁산 그림</t>
  </si>
  <si>
    <t>JD0000023059</t>
  </si>
  <si>
    <t>우리 동네 전설은</t>
  </si>
  <si>
    <t>한윤섭 지음;홍정선 그림</t>
  </si>
  <si>
    <t>JD0000023060</t>
  </si>
  <si>
    <t>나는 나무다</t>
  </si>
  <si>
    <t>케이 우만스키 글;케이트 셰퍼드 그림;천미나 옮김</t>
  </si>
  <si>
    <t>책과콩나무</t>
  </si>
  <si>
    <t>JD0000023061</t>
  </si>
  <si>
    <t>아름다운 아이</t>
  </si>
  <si>
    <t>R. J. 팔라시오 지음;천미나 옮김</t>
  </si>
  <si>
    <t>JD0000023062</t>
  </si>
  <si>
    <t>오늘은 엄마 차례</t>
  </si>
  <si>
    <t>기미 아키요 글;하세가와 가코 그림;김지연 옮김</t>
  </si>
  <si>
    <t>JD0000023063</t>
  </si>
  <si>
    <t>슬픈 도깨비 나사</t>
  </si>
  <si>
    <t>우봉규 글;이육남 그림</t>
  </si>
  <si>
    <t>책내음</t>
  </si>
  <si>
    <t>JD0000023064</t>
  </si>
  <si>
    <t>엄마는 모를거야</t>
  </si>
  <si>
    <t>곽영미 글;김은경 그림</t>
  </si>
  <si>
    <t>책먹는아이:파란정원</t>
  </si>
  <si>
    <t>JD0000023065</t>
  </si>
  <si>
    <t>지갑이 떨어져 있었어요</t>
  </si>
  <si>
    <t>리지 핀레이 지음;김호정 옮김</t>
  </si>
  <si>
    <t>책속물고기</t>
  </si>
  <si>
    <t>JD0000023066</t>
  </si>
  <si>
    <t>장수탕 선녀님</t>
  </si>
  <si>
    <t>백희나 지음</t>
  </si>
  <si>
    <t>JD0000023067</t>
  </si>
  <si>
    <t>책 좀 빌려 줘유</t>
  </si>
  <si>
    <t>이승호 글;김고은 그림</t>
  </si>
  <si>
    <t>JD0000023068</t>
  </si>
  <si>
    <t>책 읽는 도깨비. 2, 시간 도둑</t>
  </si>
  <si>
    <t>이상배 글;백명식 그림</t>
  </si>
  <si>
    <t>처음주니어</t>
  </si>
  <si>
    <t>JD0000023069</t>
  </si>
  <si>
    <t>살인 향수</t>
  </si>
  <si>
    <t>아니 피에트리 지음;최정수 옮김</t>
  </si>
  <si>
    <t>초록지붕:수다</t>
  </si>
  <si>
    <t>JD0000023070</t>
  </si>
  <si>
    <t>내 친구는 도깨비</t>
  </si>
  <si>
    <t>박재광 글;지문 그림</t>
  </si>
  <si>
    <t>JD0000023071</t>
  </si>
  <si>
    <t>쌍둥이할매식당</t>
  </si>
  <si>
    <t>우에가키 아유코 글·그림;이정선 옮김</t>
  </si>
  <si>
    <t>키위북스</t>
  </si>
  <si>
    <t>JD0000023072</t>
  </si>
  <si>
    <t>이제 너랑  말 안 해!</t>
  </si>
  <si>
    <t>니콜라 킬런 글·그림;박선하 옮김</t>
  </si>
  <si>
    <t>키즈김영사</t>
  </si>
  <si>
    <t>JD0000023073</t>
  </si>
  <si>
    <t>가을이 계속되면 좋겠어</t>
  </si>
  <si>
    <t>캐스린 화이트 글;앨리슨 에드슨 그림;최요은 옮김 옮김</t>
  </si>
  <si>
    <t>JD0000023074</t>
  </si>
  <si>
    <t>갈래머리 공주</t>
  </si>
  <si>
    <t>줄리엣 클레어 벨 글;로라 케이트 챔프먼 그림;초록색연필 옮김</t>
  </si>
  <si>
    <t>JD0000023075</t>
  </si>
  <si>
    <t>꼬질꼬질 수염 선장과 와드득 괴물</t>
  </si>
  <si>
    <t>조니 두들 글·그림;공상공장 옮김</t>
  </si>
  <si>
    <t>JD0000023076</t>
  </si>
  <si>
    <t>나무가 자라요</t>
  </si>
  <si>
    <t>에밀리 바스트 글·그림;조정훈 옮김</t>
  </si>
  <si>
    <t>JD0000023077</t>
  </si>
  <si>
    <t>마리오의 놀라운 폴짝 뛰기</t>
  </si>
  <si>
    <t>질 맥엘머리 글·그림;최용은 옮김</t>
  </si>
  <si>
    <t>JD0000023078</t>
  </si>
  <si>
    <t>(바쁘고 바쁜) 나무 이야기</t>
  </si>
  <si>
    <t>제니퍼 워드 글;리사 포켄스턴 그림;아이생각 옮김</t>
  </si>
  <si>
    <t>JD0000023079</t>
  </si>
  <si>
    <t>복 타러 간 총각</t>
  </si>
  <si>
    <t>이미애 글;유경래 그림</t>
  </si>
  <si>
    <t>JD0000023080</t>
  </si>
  <si>
    <t>부릉부릉! 삐익! 출발!</t>
  </si>
  <si>
    <t>크리스티 뎀프시 글;브리짓 스트레빈스 마르조 그림;아이생각 옮김</t>
  </si>
  <si>
    <t>JD0000023081</t>
  </si>
  <si>
    <t>소곤소곤숲의 하얀 보름달</t>
  </si>
  <si>
    <t>주디 애벗 글·그림;글맛 옮김</t>
  </si>
  <si>
    <t>JD0000023082</t>
  </si>
  <si>
    <t>수니타의 분홍 자전거</t>
  </si>
  <si>
    <t>질 로벨 글;리처드 왓슨 그림;아이생각 옮김</t>
  </si>
  <si>
    <t>JD0000023083</t>
  </si>
  <si>
    <t>슬픔을 모으는 셀레스탱</t>
  </si>
  <si>
    <t>실비 푸알르베 글;얄렝 구스트 그림;조정훈 옮김</t>
  </si>
  <si>
    <t>JD0000023084</t>
  </si>
  <si>
    <t>썰매는 이제 그만!</t>
  </si>
  <si>
    <t>김유리 글;김영곤 그림</t>
  </si>
  <si>
    <t>JD0000023085</t>
  </si>
  <si>
    <t>안녕?한다는 게 그만 어흥!</t>
  </si>
  <si>
    <t>김평 글;장라영 그림</t>
  </si>
  <si>
    <t>JD0000023086</t>
  </si>
  <si>
    <t>원숭이 트럭</t>
  </si>
  <si>
    <t>마이클 슬랙 글·그림;초록색연필 옮김</t>
  </si>
  <si>
    <t>JD0000023087</t>
  </si>
  <si>
    <t>이야기책을 읽는 아기양</t>
  </si>
  <si>
    <t>JD0000023088</t>
  </si>
  <si>
    <t>잡동사니 경주대회</t>
  </si>
  <si>
    <t>매디 맥클레란 글·그림;글맛 옮김</t>
  </si>
  <si>
    <t>JD0000023089</t>
  </si>
  <si>
    <t>좋아 좋아!싫어 싫어!</t>
  </si>
  <si>
    <t>제프 맥 글;글맛 그림</t>
  </si>
  <si>
    <t>JD0000023090</t>
  </si>
  <si>
    <t>주먹코 돌고래 바다의 해리 선장</t>
  </si>
  <si>
    <t>잰 펀리 글·그림;공상공장 옮김</t>
  </si>
  <si>
    <t>JD0000023091</t>
  </si>
  <si>
    <t>지금 바닷가에는</t>
  </si>
  <si>
    <t>JD0000023092</t>
  </si>
  <si>
    <t>친절한 토끼 씨의 새빨간 스쿠터</t>
  </si>
  <si>
    <t>스텔라 거니 글;마크 체임버스 그림;공상공장 옮김</t>
  </si>
  <si>
    <t>JD0000023093</t>
  </si>
  <si>
    <t>커다란 침대와 꼬마 릴리</t>
  </si>
  <si>
    <t>실비 푸알르베 글;샤를로트 가스토 그림;조정훈 옮김</t>
  </si>
  <si>
    <t>JD0000023094</t>
  </si>
  <si>
    <t>파내기 대장 푹푹!</t>
  </si>
  <si>
    <t>세바스티앙 브라운 글·그림;글맛 옮김</t>
  </si>
  <si>
    <t>JD0000023095</t>
  </si>
  <si>
    <t>깜짝 생일파티 소동</t>
  </si>
  <si>
    <t>올리브스튜디오 글·그림</t>
  </si>
  <si>
    <t>킨더랜드</t>
  </si>
  <si>
    <t>JD0000023096</t>
  </si>
  <si>
    <t>(안도현 선생님과 함께) 큰 소리로 읽어요</t>
  </si>
  <si>
    <t>안도현 엮고씀;한상언 그림</t>
  </si>
  <si>
    <t>토토북</t>
  </si>
  <si>
    <t>JD0000023097</t>
  </si>
  <si>
    <t>런던의 괴물 문어</t>
  </si>
  <si>
    <t>파니 졸리 글;로랑 오두앵 그림;권지현 옮김</t>
  </si>
  <si>
    <t>JD0000023098</t>
  </si>
  <si>
    <t>엄마는 외계인</t>
  </si>
  <si>
    <t>서안나 지음</t>
  </si>
  <si>
    <t>푸른사상</t>
  </si>
  <si>
    <t>JD0000023099</t>
  </si>
  <si>
    <t>(교과서와 함께 읽는) 한국사 여행기</t>
  </si>
  <si>
    <t>한예찬 글·사진</t>
  </si>
  <si>
    <t>가문비어린이</t>
  </si>
  <si>
    <t>JD0000023100</t>
  </si>
  <si>
    <t>런던은 정말 멋져</t>
  </si>
  <si>
    <t>로렌 차일드 지음;문상수 옮김</t>
  </si>
  <si>
    <t>JD0000023101</t>
  </si>
  <si>
    <t>(한 권으로 보는) 조선의 다섯 궁궐 이야기</t>
  </si>
  <si>
    <t>황은주 글;양은정 그림</t>
  </si>
  <si>
    <t>그린북</t>
  </si>
  <si>
    <t>JD0000023102</t>
  </si>
  <si>
    <t>계몽과 혁명</t>
  </si>
  <si>
    <t>닐 모리스 지음;조르조 알베르티니 그림;신예경;안현주;조윤숙 옮김</t>
  </si>
  <si>
    <t>JD0000023103</t>
  </si>
  <si>
    <t>근대국가의 탄생</t>
  </si>
  <si>
    <t>닐 모리스 글;엠 고덴치 외 그림;강민희;권수진;홍지연 옮김</t>
  </si>
  <si>
    <t>JD0000023104</t>
  </si>
  <si>
    <t>냉전시대</t>
  </si>
  <si>
    <t>닐 모리스;프란체스카 도타비 외 그림;조혜연 외 옮김</t>
  </si>
  <si>
    <t>JD0000023105</t>
  </si>
  <si>
    <t>르네상스 시대의 유럽</t>
  </si>
  <si>
    <t>닐 그랜트 지음;안드레아 모란디 그림;오정아 옮김</t>
  </si>
  <si>
    <t>JD0000023106</t>
  </si>
  <si>
    <t>민족주의와 낭만주의</t>
  </si>
  <si>
    <t>닐 모리스 지음;조르조 알베르티니 그림;최원석 옮김</t>
  </si>
  <si>
    <t>JD0000023107</t>
  </si>
  <si>
    <t>북아메리카</t>
  </si>
  <si>
    <t>리사 아이젠맨 글;프란체스카 도타비 ...[등]그림;양은경 옮김</t>
  </si>
  <si>
    <t>JD0000023108</t>
  </si>
  <si>
    <t>산업혁명</t>
  </si>
  <si>
    <t>닐 모리스 지음;로렌초 체키 그림;박여진;이은미;한은정 옮김</t>
  </si>
  <si>
    <t>JD0000023109</t>
  </si>
  <si>
    <t>세기의 전환</t>
  </si>
  <si>
    <t>마이클 케리건 글;프란체스카 도타비 외 그림;신예경 옮김</t>
  </si>
  <si>
    <t>JD0000023110</t>
  </si>
  <si>
    <t>아메리카 건설</t>
  </si>
  <si>
    <t>닐 모리스 지음;엠 고덴치 그림;강민희;홍지연;권수진 옮김</t>
  </si>
  <si>
    <t>JD0000023111</t>
  </si>
  <si>
    <t>아시아와 아프리카 제국</t>
  </si>
  <si>
    <t>닐 모리스 글;로렌조 체키 외 그림;김지현;이완식;윤화경 [공]옮김</t>
  </si>
  <si>
    <t>JD0000023112</t>
  </si>
  <si>
    <t>후기 중세의 유럽</t>
  </si>
  <si>
    <t>닐 모리스 글;조르조 바킨 외 그림;신혜연 옮김</t>
  </si>
  <si>
    <t>JD0000023113</t>
  </si>
  <si>
    <t>(효심을 다해 지은 왕의 무덤) 조선 왕릉</t>
  </si>
  <si>
    <t>임소연 글;오연 그림</t>
  </si>
  <si>
    <t>JD0000023114</t>
  </si>
  <si>
    <t>(울산에 없는) 울산바위</t>
  </si>
  <si>
    <t>김춘옥 글;김태현 그림</t>
  </si>
  <si>
    <t>봄봄</t>
  </si>
  <si>
    <t>JD0000023115</t>
  </si>
  <si>
    <t>나의 소원 : 마음 좋은 사람,백범 김구</t>
  </si>
  <si>
    <t>현상선 글;송아지 그림</t>
  </si>
  <si>
    <t>비움과채움</t>
  </si>
  <si>
    <t>JD0000023116</t>
  </si>
  <si>
    <t>(왕자가 태어나던 날) 궁궐 사람들은 무얼 했을까</t>
  </si>
  <si>
    <t>김경화 글;구세진 그림</t>
  </si>
  <si>
    <t>JD0000023117</t>
  </si>
  <si>
    <t>태종 무열왕 : 대왕의 꿈을 이루다</t>
  </si>
  <si>
    <t>이만수 글·그림</t>
  </si>
  <si>
    <t>삼성당</t>
  </si>
  <si>
    <t>JD0000023118</t>
  </si>
  <si>
    <t>롤러코스터보다 아찔한 세계사 100대 사건</t>
  </si>
  <si>
    <t>김인기 글;김하얀 그림</t>
  </si>
  <si>
    <t>JD0000023119</t>
  </si>
  <si>
    <t>교과서 역사 지도책 : 롤프의 역사 지도 여행</t>
  </si>
  <si>
    <t>최설희 글;여기;이동승 [공]그림</t>
  </si>
  <si>
    <t>상상의집:루크하우스</t>
  </si>
  <si>
    <t>JD0000023120</t>
  </si>
  <si>
    <t>(세계사를 뒤흔든) 20가지 전쟁. 1, 페르시아 전쟁부터 오스만 투르크 동로마 제국 전쟁까지</t>
  </si>
  <si>
    <t>이광희 글;조장호 그림</t>
  </si>
  <si>
    <t>생각을담는집어린이</t>
  </si>
  <si>
    <t>JD0000023121</t>
  </si>
  <si>
    <t>(세계사를 뒤흔든) 20가지 전쟁. 2, 나폴레옹 전쟁부터 베트남 전쟁까지</t>
  </si>
  <si>
    <t>JD0000023122</t>
  </si>
  <si>
    <t>(만화로 만나는) 다산 정약용 : 유배지에서 만난 사람들</t>
  </si>
  <si>
    <t>김한조 글;한수자 그림</t>
  </si>
  <si>
    <t>소금창고</t>
  </si>
  <si>
    <t>JD0000023123</t>
  </si>
  <si>
    <t>루이 14세 : 태양왕의 시대</t>
  </si>
  <si>
    <t>샤를 들라빌 지음;엠마뉘엘 에티엔 그림;류재화 옮김</t>
  </si>
  <si>
    <t>JD0000023124</t>
  </si>
  <si>
    <t>(전설의 땅) 고대 그리스</t>
  </si>
  <si>
    <t>쥘리엣 베크 지음;류재화 옮김</t>
  </si>
  <si>
    <t>JD0000023125</t>
  </si>
  <si>
    <t>조선역사도감 : 이미지로 쏙쏙 교과서 우리역사</t>
  </si>
  <si>
    <t>서찬석 글·사진;안주현 그림</t>
  </si>
  <si>
    <t>스쿨로드</t>
  </si>
  <si>
    <t>JD0000023126</t>
  </si>
  <si>
    <t>(공부가 되는) 아메리카 이야기</t>
  </si>
  <si>
    <t>글공작소 지음</t>
  </si>
  <si>
    <t>JD0000023127</t>
  </si>
  <si>
    <t>스웨덴에서 보물찾기</t>
  </si>
  <si>
    <t>곰돌이 co. 글;강경효 그림</t>
  </si>
  <si>
    <t>JD0000023128</t>
  </si>
  <si>
    <t>삼국유사 : 한 권으로 읽는 우리 역사 이야기 34편</t>
  </si>
  <si>
    <t>일연 원작;김진섭 엮음;강은경;곽진영;김민선;심수근 외 그림</t>
  </si>
  <si>
    <t>미래엔 아이즐</t>
  </si>
  <si>
    <t>JD0000023129</t>
  </si>
  <si>
    <t>(알라의 사도) 이븐 바투타, 실크로드 세계를 여행하다</t>
  </si>
  <si>
    <t>박유상 지음</t>
  </si>
  <si>
    <t>아카넷주니어</t>
  </si>
  <si>
    <t>JD0000023130</t>
  </si>
  <si>
    <t>(옛 선비들의) 국토 기행</t>
  </si>
  <si>
    <t>원영주 글;이수진 그림;권태균 사진</t>
  </si>
  <si>
    <t>JD0000023131</t>
  </si>
  <si>
    <t>제2차 세계대전</t>
  </si>
  <si>
    <t>김선옥 글;위싱스타 그림</t>
  </si>
  <si>
    <t>JD0000023132</t>
  </si>
  <si>
    <t>(오천 년 역사를 세운) 시조 임금</t>
  </si>
  <si>
    <t>정재은 글;이국희 그림</t>
  </si>
  <si>
    <t>JD0000023133</t>
  </si>
  <si>
    <t>클레오파트라</t>
  </si>
  <si>
    <t>다니엘라 볼파리 글;마리 드 프레몽빌 그림;이종은 옮김</t>
  </si>
  <si>
    <t>지에밥</t>
  </si>
  <si>
    <t>JD0000023134</t>
  </si>
  <si>
    <t>(고고학 생생 노트) 땅에서 찾고 바다에서 건진 우리 역사</t>
  </si>
  <si>
    <t>김영숙 글;송진욱 그림</t>
  </si>
  <si>
    <t>책과함께어린이</t>
  </si>
  <si>
    <t>JD0000023135</t>
  </si>
  <si>
    <t>(크메르) 앙코르와트에서 살아남기. 2</t>
  </si>
  <si>
    <t>코믹컴 글;문정후 그림</t>
  </si>
  <si>
    <t>JD0000023136</t>
  </si>
  <si>
    <t>나도 조선의 백성이라고! : 조선을 지킨 여덟 천민 이야기</t>
  </si>
  <si>
    <t>이상각 글;박지윤 그림</t>
  </si>
  <si>
    <t>JD0000023137</t>
  </si>
  <si>
    <t>(결정!) 한국사. 2, 후삼국에서 고려까지</t>
  </si>
  <si>
    <t>강응천 글;도희현 그림</t>
  </si>
  <si>
    <t>JD0000023138</t>
  </si>
  <si>
    <t>(결정!) 한국사. 3, 조선 건국에서 임진왜란까지</t>
  </si>
  <si>
    <t>JD0000023139</t>
  </si>
  <si>
    <t>(결정!) 한국사. 4, 조선 중기부터 흥선 대원군의 개혁까지</t>
  </si>
  <si>
    <t>JD0000023140</t>
  </si>
  <si>
    <t>(어린이를 위한) 한일 외교사 수업</t>
  </si>
  <si>
    <t>박영수 글;김상인 그림</t>
  </si>
  <si>
    <t>풀과바람</t>
  </si>
  <si>
    <t>JD0000023141</t>
  </si>
  <si>
    <t>공병우 : 한글을 사랑한 괴짜 의사</t>
  </si>
  <si>
    <t>김은식 글;이상규 그림</t>
  </si>
  <si>
    <t>한겨레아이들</t>
  </si>
  <si>
    <t>JD0000023142</t>
  </si>
  <si>
    <t>세계 역사를 바꾼 말 한마디 : 세상을 움직인 인물들에게 듣는다!</t>
  </si>
  <si>
    <t>강응천 글;편형규 그림</t>
  </si>
  <si>
    <t>해와나무</t>
  </si>
  <si>
    <t>JD0000023143</t>
  </si>
  <si>
    <t>처음 나라가 생긴 이야기</t>
  </si>
  <si>
    <t>김해원 글;정민아 그림</t>
  </si>
  <si>
    <t>JD0000023144</t>
  </si>
  <si>
    <t>가자! 제주도</t>
  </si>
  <si>
    <t>권미혜;이두현 지음;보리앤스토리 그림</t>
  </si>
  <si>
    <t>핵교</t>
  </si>
  <si>
    <t>JD0000023145</t>
  </si>
  <si>
    <t>길 따라 세계사</t>
  </si>
  <si>
    <t>후지노 히로시 글;오근영 옮김;조혜주 그림</t>
  </si>
  <si>
    <t>JD0000023146</t>
  </si>
  <si>
    <t>(Why?) 공생과 천적</t>
  </si>
  <si>
    <t>박세준 글;그림수레 만화</t>
  </si>
  <si>
    <t>JD0000023147</t>
  </si>
  <si>
    <t>(Why?) 국가와 국기</t>
  </si>
  <si>
    <t>전재운 글;이종원 그림</t>
  </si>
  <si>
    <t>JD0000023148</t>
  </si>
  <si>
    <t>(Why?) 옷과 패션</t>
  </si>
  <si>
    <t>이준범 글;이항선 그림;이윤정 감수</t>
  </si>
  <si>
    <t>JD0000023149</t>
  </si>
  <si>
    <t>(Why?) 영화</t>
  </si>
  <si>
    <t>박세준 글;윤남선 그림</t>
  </si>
  <si>
    <t>JD0000023150</t>
  </si>
  <si>
    <t>(Why?) 오페라와 뮤지컬</t>
  </si>
  <si>
    <t>박세준 글;한종천 그림</t>
  </si>
  <si>
    <t>JD0000023151</t>
  </si>
  <si>
    <t>(Why?) 발표력</t>
  </si>
  <si>
    <t>박세준 글;박종성 그림</t>
  </si>
  <si>
    <t>JD0000023152</t>
  </si>
  <si>
    <t>JD0000023153</t>
  </si>
  <si>
    <t>(Why?) 명재상과 충신</t>
  </si>
  <si>
    <t>우덕환 글;문성기 그림</t>
  </si>
  <si>
    <t>JD0000023154</t>
  </si>
  <si>
    <t>(Why?) 신화와 전설</t>
  </si>
  <si>
    <t>박연아 지음;극동만화연구소 그림</t>
  </si>
  <si>
    <t>JD0000023155</t>
  </si>
  <si>
    <t>(Why?) 역사를 바꾼 사건</t>
  </si>
  <si>
    <t>JD0000023156</t>
  </si>
  <si>
    <t>(Why?) 프랑스</t>
  </si>
  <si>
    <t>남춘자 글;윤현우 그림</t>
  </si>
  <si>
    <t>JD0000023157</t>
  </si>
  <si>
    <t>(Why?) 이탈리아</t>
  </si>
  <si>
    <t>김승렬 글;이태훈 그림</t>
  </si>
  <si>
    <t>JD0000023158</t>
  </si>
  <si>
    <t>(Why? people) 백남준 = Paik Nam June</t>
  </si>
  <si>
    <t>그림나무 글;백문호 그림</t>
  </si>
  <si>
    <t>JD0000023159</t>
  </si>
  <si>
    <t>(Why? people) 세종대왕 = Sejong the great</t>
  </si>
  <si>
    <t>그림나무 글;이두원 그림</t>
  </si>
  <si>
    <t>JD0000023160</t>
  </si>
  <si>
    <t>(Why? people) 오프라 윈프리 = Oprah Winfrey</t>
  </si>
  <si>
    <t>그림나무 글;김성래 그림</t>
  </si>
  <si>
    <t>JD0000023161</t>
  </si>
  <si>
    <t>(Why? people) 워런 버핏 = Warren Buffett</t>
  </si>
  <si>
    <t>그림나무 글;김홍선 그림</t>
  </si>
  <si>
    <t>JD0000023162</t>
  </si>
  <si>
    <t>(Why? people) 스티븐 호킹 = Stephen Hawking</t>
  </si>
  <si>
    <t>그림나무 글;윤창원 그림</t>
  </si>
  <si>
    <t>JD0000023163</t>
  </si>
  <si>
    <t>(Why?) 세계의 풍속</t>
  </si>
  <si>
    <t>박세준 글;송회석 그림</t>
  </si>
  <si>
    <t>JD0000023164</t>
  </si>
  <si>
    <t>JD0000023165</t>
  </si>
  <si>
    <t>(Who?) 노먼 베순 = Henry Norman Bethune</t>
  </si>
  <si>
    <t>파피루스 글;툰쟁이 그림</t>
  </si>
  <si>
    <t>다산어린이:다산북스</t>
  </si>
  <si>
    <t>JD0000023166</t>
  </si>
  <si>
    <t>(Who?) 레이첼 카슨 = Rachel Carson</t>
  </si>
  <si>
    <t>파피루스 글;흰수염고래 그림</t>
  </si>
  <si>
    <t>JD0000023167</t>
  </si>
  <si>
    <t>(Who?) 루이 파스퇴르 = Louis Pasteur</t>
  </si>
  <si>
    <t>이희정 글;팀키즈 그림</t>
  </si>
  <si>
    <t>다산어린이</t>
  </si>
  <si>
    <t>JD0000023168</t>
  </si>
  <si>
    <t>(Who?) 리처드 파인만 = Richard Feynman</t>
  </si>
  <si>
    <t>오영석 글;밀크 그림</t>
  </si>
  <si>
    <t>JD0000023169</t>
  </si>
  <si>
    <t>(Who?) 마리아 몬테소리 = Maria Montessori</t>
  </si>
  <si>
    <t>이동규 글;오천년 그림</t>
  </si>
  <si>
    <t>JD0000023170</t>
  </si>
  <si>
    <t>(Who?) 마크 트웨인 = Mark Twain</t>
  </si>
  <si>
    <t>JD0000023171</t>
  </si>
  <si>
    <t>(Who?) 마하트마 간디 = Mahatma Gandhi</t>
  </si>
  <si>
    <t>오영석 글;이종원 그림</t>
  </si>
  <si>
    <t>JD0000023172</t>
  </si>
  <si>
    <t>(Who?) 무함마드 유누스 = Muhammad Yunus</t>
  </si>
  <si>
    <t>김모락 글·그림</t>
  </si>
  <si>
    <t>JD0000023173</t>
  </si>
  <si>
    <t>(Who?) 반기문 = Ban Ki-moon</t>
  </si>
  <si>
    <t>스튜디오 해닮 글·그림</t>
  </si>
  <si>
    <t>JD0000023174</t>
  </si>
  <si>
    <t>(Who?) 밥 말리 = Bob Marley</t>
  </si>
  <si>
    <t>한나나 글;흰수염고래 그림</t>
  </si>
  <si>
    <t>JD0000023175</t>
  </si>
  <si>
    <t>(Who?) 어니스트 섀클턴 = Ernest Shackleton</t>
  </si>
  <si>
    <t>박연아 글;스튜디오 청비 그림</t>
  </si>
  <si>
    <t>JD0000023176</t>
  </si>
  <si>
    <t>(Who?) 이사도라 덩컨 = Isadora Duncan</t>
  </si>
  <si>
    <t>JD0000023177</t>
  </si>
  <si>
    <t>(Who?) 제임스 와트 = James Watt</t>
  </si>
  <si>
    <t>윤상석 글;김현기 그림</t>
  </si>
  <si>
    <t>JD0000023178</t>
  </si>
  <si>
    <t>(Who?) 카를 마르크스 = Karl Heinrich Marx</t>
  </si>
  <si>
    <t>이숙자 글;스튜디오 청비 그림</t>
  </si>
  <si>
    <t>JD0000023179</t>
  </si>
  <si>
    <t>(Who?) 프리다 칼로</t>
  </si>
  <si>
    <t>이숙자 글;도니패밀리 그림</t>
  </si>
  <si>
    <t>JD0000023180</t>
  </si>
  <si>
    <t>(Who?) 쑨원 = Sun Wen</t>
  </si>
  <si>
    <t>김성훈 글;이영호 그림</t>
  </si>
  <si>
    <t>JD0000023181</t>
  </si>
  <si>
    <t>(Who?) 한스 크리스티안 안데르센 = Hans christian Andersen</t>
  </si>
  <si>
    <t>권용찬 글;비타컴 그림</t>
  </si>
  <si>
    <t>JD0000023182</t>
  </si>
  <si>
    <t>Why and how? 과학이야기. 1 : 우리 몸·생물·음식과 생활·지구와 우주·놀라운 과학·신나는 과학 실험·위대한 과학 위인</t>
  </si>
  <si>
    <t>코스모피아 외 글;고선윤 옮김;양선모 그림</t>
  </si>
  <si>
    <t>JD0000023183</t>
  </si>
  <si>
    <t>Why and how? 과학이야기. 2 : 우리 몸·생물·음식과 생활·지구와 우주·놀라운 과학·신나는 과학 실험·위대한 과학 위인</t>
  </si>
  <si>
    <t>코스모피아 외 글;고선윤 옮김;이태영 그림</t>
  </si>
  <si>
    <t>JD0000023184</t>
  </si>
  <si>
    <t>Why and how? 과학이야기. 3 : 우리 몸·생물·음식과 생활·지구와 우주·놀라운 과학·신나는 과학 실험·위대한 과학 위인</t>
  </si>
  <si>
    <t>코스모피아 외 글;고선윤 옮김;현보;양선모 [공]그림</t>
  </si>
  <si>
    <t>JD0000023185</t>
  </si>
  <si>
    <t>Why and how? 과학이야기. 4 : 우리 몸·생물·음식과 생활·지구와 우주·놀라운 과학·신나는 과학 실험·위대한 과학 위인</t>
  </si>
  <si>
    <t>과학이야기 편집위원회 글;고선윤 옮김;이태영 그림</t>
  </si>
  <si>
    <t>JD0000023186</t>
  </si>
  <si>
    <t>Why and how? 과학이야기. 5 : 우리 몸·생물·음식과 생활·지구와 우주·놀라운 과학·신나는 과학 실험·위대한 과학 위인</t>
  </si>
  <si>
    <t>과학이야기 편집위원회 글;양선모 그림;고선윤 옮김</t>
  </si>
  <si>
    <t>JD0000023187</t>
  </si>
  <si>
    <t>Why and how? 과학이야기. 6 : 우리 몸·생물·음식과 생활·지구와 우주·놀라운 과학·신나는 과학 실험·위대한 과학 위인</t>
  </si>
  <si>
    <t>과학이야기 편집위원회 글;이태영 그림;고선윤 옮김</t>
  </si>
  <si>
    <t>JD0000023188</t>
  </si>
  <si>
    <t>가네샤 신의 선물 : 단야바드 인도</t>
  </si>
  <si>
    <t>허명남 지음;엄정원 그림</t>
  </si>
  <si>
    <t>한솔수북(한솔교육)</t>
  </si>
  <si>
    <t>JD0000023189</t>
  </si>
  <si>
    <t>가려워! 가려워!</t>
  </si>
  <si>
    <t>JD0000023190</t>
  </si>
  <si>
    <t>가시도 아프다</t>
  </si>
  <si>
    <t>김병규 글;박요한 그림</t>
  </si>
  <si>
    <t>효리원</t>
  </si>
  <si>
    <t>JD0000023191</t>
  </si>
  <si>
    <t>가시소년</t>
  </si>
  <si>
    <t>권자경 글;송하완 그림</t>
  </si>
  <si>
    <t>JD0000023192</t>
  </si>
  <si>
    <t>JD0000023193</t>
  </si>
  <si>
    <t>가자!! 강화도</t>
  </si>
  <si>
    <t>윤창희;이인재;전혜인 [공]글;보리앤스토리 그림</t>
  </si>
  <si>
    <t>JD0000023194</t>
  </si>
  <si>
    <t>쟈스민 글·요리</t>
  </si>
  <si>
    <t>그리고책</t>
  </si>
  <si>
    <t>JD0000023195</t>
  </si>
  <si>
    <t>고기수첩  : 고기박사 필로 교수가 알려주는 82가지</t>
  </si>
  <si>
    <t>주선태 지음</t>
  </si>
  <si>
    <t>우듬지</t>
  </si>
  <si>
    <t>JD0000023196</t>
  </si>
  <si>
    <t>공중보건학  = Public health education</t>
  </si>
  <si>
    <t>김상수 ;김성학 ;이광재 ;김찬문 ;이천희 ;김경운 ;김성중 ;강형규 ;박성학 ;박정서 ;복혜정 ;송영화 ;양해선 ;이형수 ;임원식 ;정명희 ;황원정 공저</t>
  </si>
  <si>
    <t>퍼시픽북스</t>
  </si>
  <si>
    <t>JD0000023197</t>
  </si>
  <si>
    <t>과일 노트  = Fruits recipe &amp; styling  : 눈과 입이 즐거운 비타민 한 접시</t>
  </si>
  <si>
    <t>이윤혜 지음</t>
  </si>
  <si>
    <t>하서출판사</t>
  </si>
  <si>
    <t>JD0000023198</t>
  </si>
  <si>
    <t>과학기술문화 소통의 역사와 실천  : 런던에서 서울까지</t>
  </si>
  <si>
    <t>조숙경 저</t>
  </si>
  <si>
    <t>북스힐</t>
  </si>
  <si>
    <t>JD0000023199</t>
  </si>
  <si>
    <t>과학수사 입문</t>
  </si>
  <si>
    <t>Max M. Houck ;Jay A. Siegel 지음 ;박기원 옮김</t>
  </si>
  <si>
    <t>생능출판사</t>
  </si>
  <si>
    <t>JD0000023200</t>
  </si>
  <si>
    <t>교사, 가르고 치다  : 난장과 끝장의 교사 욕망 분출기</t>
  </si>
  <si>
    <t>김준산 지음</t>
  </si>
  <si>
    <t>네시간</t>
  </si>
  <si>
    <t>JD0000023201</t>
  </si>
  <si>
    <t>(안전보건교육 프로그램) 구조와 응급처치  : 사고를 미연에 예방하고 축소하여 인적·경제적 손실을 줄이는 방법</t>
  </si>
  <si>
    <t>강경순 ;정현민 ;이정훈 ;박상규 ;조성균 ;강은석 ;이효철 ;이무연 ;오문엽 ;최승재 ;임현수 ;정용태 ;홍윤숙 공저</t>
  </si>
  <si>
    <t>범문에듀케이션</t>
  </si>
  <si>
    <t>JD0000023202</t>
  </si>
  <si>
    <t>(근대100년) 한방임상집</t>
  </si>
  <si>
    <t>류기원 대표편저자</t>
  </si>
  <si>
    <t>의성당</t>
  </si>
  <si>
    <t>JD0000023203</t>
  </si>
  <si>
    <t>기계산책자  : 비평가 이영준, 기계들의 도시를 걷다</t>
  </si>
  <si>
    <t>이영준 지음</t>
  </si>
  <si>
    <t>이음</t>
  </si>
  <si>
    <t>JD0000023204</t>
  </si>
  <si>
    <t>기적의 채소  : 비료도 농약도 퇴비도 쓰지 않는 먹거리 혁명, 자연재배</t>
  </si>
  <si>
    <t>송광일 지음</t>
  </si>
  <si>
    <t>청림Life</t>
  </si>
  <si>
    <t>JD0000023205</t>
  </si>
  <si>
    <t>기초공학  = Foundation engineering</t>
  </si>
  <si>
    <t>이송 ;황규호 ;전제성 ;신효희 ;정상국 ;노태길 공저</t>
  </si>
  <si>
    <t>구미서관</t>
  </si>
  <si>
    <t>JD0000023206</t>
  </si>
  <si>
    <t>나는 축구선수다  : 박지성, 판 페르시, 메시, 카시야스 등 세계적인 스타 플레이어 40인의 축구 인생</t>
  </si>
  <si>
    <t>톰 와트 지음 ;서형욱 옮김</t>
  </si>
  <si>
    <t>JD0000023207</t>
  </si>
  <si>
    <t>나는 해외쇼핑으로 쇼핑 다이어트 한다  : 초보자를 위한 해외쇼핑몰 이용 가이드</t>
  </si>
  <si>
    <t>퍼니샤퍼 ;샵투 ;부자킹 지음</t>
  </si>
  <si>
    <t>코드미디어</t>
  </si>
  <si>
    <t>JD0000023208</t>
  </si>
  <si>
    <t>(0세부터 사춘기까지) 남자아이 두뇌코칭  : 아들의 두뇌는 엄마가 만든다</t>
  </si>
  <si>
    <t>아리타 히데호 지음 ;신은주 옮김</t>
  </si>
  <si>
    <t>진선북스</t>
  </si>
  <si>
    <t>JD0000023209</t>
  </si>
  <si>
    <t>내 아이 마음 보살피기  : 아이를 이해하고 싶은 엄마를 위한 필독서</t>
  </si>
  <si>
    <t>홍미경 지음</t>
  </si>
  <si>
    <t>함께북스</t>
  </si>
  <si>
    <t>JD0000023210</t>
  </si>
  <si>
    <t>내가 고치는 자가치유 건강법  : 평생 함께 하는 내 몸, 내가 주치의가 될 수 있다</t>
  </si>
  <si>
    <t>수선재 엮음</t>
  </si>
  <si>
    <t>수선재</t>
  </si>
  <si>
    <t>JD0000023211</t>
  </si>
  <si>
    <t>뇌와 마음을 지배하는 물질  : 우리 몸을 건강하게도 하고 병들게도 하는 물질의 정체는 무엇일까? 그 물질을 컨트롤하기 위한 지혜는?</t>
  </si>
  <si>
    <t>이쿠타 사토시 지음 ;김세원 옮김</t>
  </si>
  <si>
    <t>JD0000023212</t>
  </si>
  <si>
    <t>니나 가르시아의 룩북  : '오늘 뭘 입지?' 고민하는 이들을 위한 패션 처방전</t>
  </si>
  <si>
    <t>니나 가르시아 글 ;루벤 톨레도 그림 ;조진경 옮김</t>
  </si>
  <si>
    <t>시드페이퍼</t>
  </si>
  <si>
    <t>JD0000023213</t>
  </si>
  <si>
    <t>당뇨, 기적의 완치  : 당뇨 환자와 가족들을 향한 희망의 메시지!</t>
  </si>
  <si>
    <t>김동철 지음</t>
  </si>
  <si>
    <t>상상나무 :상상예찬</t>
  </si>
  <si>
    <t>JD0000023214</t>
  </si>
  <si>
    <t>대장암이 궁금해요  = Colorectal cancer</t>
  </si>
  <si>
    <t>박재갑 책임저자 ;박성찬 ;최은경 ;신루미 공저자</t>
  </si>
  <si>
    <t>아카데미아</t>
  </si>
  <si>
    <t>JD0000023215</t>
  </si>
  <si>
    <t>드레스 코드. 01</t>
  </si>
  <si>
    <t>천계영 지음</t>
  </si>
  <si>
    <t>예담</t>
  </si>
  <si>
    <t>JD0000023216</t>
  </si>
  <si>
    <t>드레스 코드. 2 :, 코디노트</t>
  </si>
  <si>
    <t>JD0000023217</t>
  </si>
  <si>
    <t>똑똑한 아이 집에 있는 물건  : 평범한 물건을 평범하지 않게 사용하는 가정의 특별한 자녀 교육법</t>
  </si>
  <si>
    <t>시지마 야스시 지음 ;정난진 옮김</t>
  </si>
  <si>
    <t>부즈펌</t>
  </si>
  <si>
    <t>JD0000023218</t>
  </si>
  <si>
    <t>똑소리나는 귀농귀촌  : 전국 15인의 시골생활 정착기</t>
  </si>
  <si>
    <t>권경미 ;김부성 공저</t>
  </si>
  <si>
    <t>고래미디어</t>
  </si>
  <si>
    <t>JD0000023219</t>
  </si>
  <si>
    <t>불임을 넘어서 산후풍 없는 산후조리까지  = Pregnancy &amp; delivery</t>
  </si>
  <si>
    <t>이종훈 지음</t>
  </si>
  <si>
    <t>건강다이제스트社</t>
  </si>
  <si>
    <t>JD0000023220</t>
  </si>
  <si>
    <t>비교하는 엄마 기다리는 엄마</t>
  </si>
  <si>
    <t>홍미경 ;김태광 공저</t>
  </si>
  <si>
    <t>베이직북스</t>
  </si>
  <si>
    <t>JD0000023221</t>
  </si>
  <si>
    <t>사랑도 치유가 필요하다  : 사랑이라는 이름의 정서적 학대와 그 치유의 심리학</t>
  </si>
  <si>
    <t>비벌리 엔젤 지음 ;김윤 ;김선영 옮김</t>
  </si>
  <si>
    <t>책으로 여는 세상</t>
  </si>
  <si>
    <t>JD0000023222</t>
  </si>
  <si>
    <t>(선구적 교육혁신 사례를 통해 살펴보는) 살아나는 학교 신나는 아이들  : 학교를 살리는 6가지 처방</t>
  </si>
  <si>
    <t>밀턴 첸 지음 ;김태훈 옮김</t>
  </si>
  <si>
    <t>타임북스</t>
  </si>
  <si>
    <t>JD0000023223</t>
  </si>
  <si>
    <t>생리학  = Physiology</t>
  </si>
  <si>
    <t>한국해부생리학교수협의회 편</t>
  </si>
  <si>
    <t>정담미디어</t>
  </si>
  <si>
    <t>JD0000023224</t>
  </si>
  <si>
    <t>생명을 구하는 운전기술  = (The) driving techniques for saving lives</t>
  </si>
  <si>
    <t>최종림 지음</t>
  </si>
  <si>
    <t>여백미디어·누보</t>
  </si>
  <si>
    <t>JD0000023225</t>
  </si>
  <si>
    <t>(생명을 살리는) 왕쑥뜸과 경락 마사지</t>
  </si>
  <si>
    <t>김영안 지음</t>
  </si>
  <si>
    <t>태웅출판사</t>
  </si>
  <si>
    <t>JD0000023226</t>
  </si>
  <si>
    <t>생태농업이란 무엇인가</t>
  </si>
  <si>
    <t>전국귀농운동본부 엮음</t>
  </si>
  <si>
    <t>들녘</t>
  </si>
  <si>
    <t>JD0000023227</t>
  </si>
  <si>
    <t>서른 중반 건강한 임신을 부탁해  : 아기가 찾아오는 엄마의 몸 vs 아기가 멀어지는 엄마의 몸</t>
  </si>
  <si>
    <t>조 마리코 ;기타노하라 마사다카 지음 ;류지연 옮김</t>
  </si>
  <si>
    <t>프리렉</t>
  </si>
  <si>
    <t>JD0000023228</t>
  </si>
  <si>
    <t>서울의 전통음식  : 북촌 맹현음식을 중심으로</t>
  </si>
  <si>
    <t>이귀주 지음</t>
  </si>
  <si>
    <t>고려대학교출판부</t>
  </si>
  <si>
    <t>JD0000023229</t>
  </si>
  <si>
    <t>선로공학</t>
  </si>
  <si>
    <t>서사범 저</t>
  </si>
  <si>
    <t>북갤러리</t>
  </si>
  <si>
    <t>JD0000023230</t>
  </si>
  <si>
    <t>선생이란 무엇인가  : 루소·퇴계·공자·융에게 교육의 길을 묻다</t>
  </si>
  <si>
    <t>한석훈 지음</t>
  </si>
  <si>
    <t>한언</t>
  </si>
  <si>
    <t>JD0000023231</t>
  </si>
  <si>
    <t>(우리 아이를 바꾸는) 성격의 비밀  : 성격을 알면 재능이 보인다!</t>
  </si>
  <si>
    <t>EBS 다큐프라임 당신의 성격제작팀 ;김현수 지음</t>
  </si>
  <si>
    <t>블루앤트리</t>
  </si>
  <si>
    <t>JD0000023232</t>
  </si>
  <si>
    <t>(한식, 양식, 일식으로 즐기는)센의 홈메이드 브런치</t>
  </si>
  <si>
    <t>공원주 지음</t>
  </si>
  <si>
    <t>JD0000023233</t>
  </si>
  <si>
    <t>소방화학  = Chemistra of fire prevention</t>
  </si>
  <si>
    <t>김명철 지음</t>
  </si>
  <si>
    <t>녹문당</t>
  </si>
  <si>
    <t>JD0000023234</t>
  </si>
  <si>
    <t>손님 초대 음식  : 향토음식과 함께 떠나는 맛여행</t>
  </si>
  <si>
    <t>농촌진흥청 전통한식과 지음</t>
  </si>
  <si>
    <t>모던플러스</t>
  </si>
  <si>
    <t>JD0000023235</t>
  </si>
  <si>
    <t>수술 없는 척추관협착증 치료  : 관절 주변의 힘줄, 인대, 근육을 살리는 비수술 근본 치료법</t>
  </si>
  <si>
    <t>신정수 외 지음</t>
  </si>
  <si>
    <t>느낌이 있는책</t>
  </si>
  <si>
    <t>JD0000023236</t>
  </si>
  <si>
    <t>(스캘프) 샴푸 및 트리트먼트 교육론  = Scalp shampoo treatment</t>
  </si>
  <si>
    <t>류은주 ;오강수 지음</t>
  </si>
  <si>
    <t>한국학술정보</t>
  </si>
  <si>
    <t>JD0000023237</t>
  </si>
  <si>
    <t>스콘 &amp; 핫비스킷  = Scone &amp; hot biscuit  : 집에서 만드는 카페 스타일</t>
  </si>
  <si>
    <t>후지타 치아키 지음 ;김혜원 옮김</t>
  </si>
  <si>
    <t>싸이프레스</t>
  </si>
  <si>
    <t>JD0000023238</t>
  </si>
  <si>
    <t>스틸하우스에서 저에너지하우스까지</t>
  </si>
  <si>
    <t>김집 지음</t>
  </si>
  <si>
    <t>책만드는토우</t>
  </si>
  <si>
    <t>JD0000023239</t>
  </si>
  <si>
    <t>시골집에 반하다  : 바다가 보이는 나만의 별장, 구입부터 리모델링까지</t>
  </si>
  <si>
    <t>정선영 지음</t>
  </si>
  <si>
    <t>JD0000023240</t>
  </si>
  <si>
    <t>시스템생물학입문  : 생물학적 회로의 설계원리</t>
  </si>
  <si>
    <t>Uri Alon 지음 ;도진환 역</t>
  </si>
  <si>
    <t>아신</t>
  </si>
  <si>
    <t>JD0000023241</t>
  </si>
  <si>
    <t>시스템 안전공학  = System safety engineering</t>
  </si>
  <si>
    <t>임현교 著</t>
  </si>
  <si>
    <t>한솔아카데미</t>
  </si>
  <si>
    <t>JD0000023242</t>
  </si>
  <si>
    <t>식생활 정보와 체중관리  = Dietary information &amp; weight management</t>
  </si>
  <si>
    <t>왕수경 ;구난숙 ;윤은영 ;이나영 ;임영희 공저</t>
  </si>
  <si>
    <t>형설출판사</t>
  </si>
  <si>
    <t>JD0000023243</t>
  </si>
  <si>
    <t>신·재생에너지공학</t>
  </si>
  <si>
    <t>(사)일본화학공학회 SCE·Net 편 ;김봉석 ;오태선 ;이병호 ;정영관 ;채명석 공역</t>
  </si>
  <si>
    <t>JD0000023244</t>
  </si>
  <si>
    <t>(신은 서두르지 않는다,) 가우디  = Antoni gaudi</t>
  </si>
  <si>
    <t>김용대 지음</t>
  </si>
  <si>
    <t>미진사</t>
  </si>
  <si>
    <t>JD0000023245</t>
  </si>
  <si>
    <t>신종 질병의 세계</t>
  </si>
  <si>
    <t>안느 드브루아즈 지음 ;심영섭 옮김</t>
  </si>
  <si>
    <t>현실문화연구</t>
  </si>
  <si>
    <t>JD0000023246</t>
  </si>
  <si>
    <t>(아동과 청소년을 위한) 수용과 마음챙김 치료  : 실무자 지침서</t>
  </si>
  <si>
    <t>Laurie A. Greco ;Steven C. Hayes 엮음 ;손정락 ;이금단 ;이정화 옮김</t>
  </si>
  <si>
    <t>시그마프레스</t>
  </si>
  <si>
    <t>JD0000023247</t>
  </si>
  <si>
    <t>아동 관찰 및 행동</t>
  </si>
  <si>
    <t>고인숙 ;홍혜정 공저</t>
  </si>
  <si>
    <t>교육아카데미</t>
  </si>
  <si>
    <t>JD0000023248</t>
  </si>
  <si>
    <t>아들 열 살이 되면 교육법을 바꿔라</t>
  </si>
  <si>
    <t>마쓰나가 노부후미 지음 ;김효진 옮김</t>
  </si>
  <si>
    <t>중앙북스</t>
  </si>
  <si>
    <t>JD0000023249</t>
  </si>
  <si>
    <t>아로마테라피 허브 카드  = Aromatherapy Herb Cards  : 향기로운 자연으로의 초대</t>
  </si>
  <si>
    <t>이유나 ;강민주 ;박수정 ;김미경 ;남미영 ;박신우</t>
  </si>
  <si>
    <t>수작걸다</t>
  </si>
  <si>
    <t>JD0000023250</t>
  </si>
  <si>
    <t>(좋은 아빠 되기 프로젝트) 아빠 공부  = How to be a better dad</t>
  </si>
  <si>
    <t>김대범 지음</t>
  </si>
  <si>
    <t>책비</t>
  </si>
  <si>
    <t>JD0000023251</t>
  </si>
  <si>
    <t>(엄마가 해줄 수 없는, 엄마보다 더 위대한 힘을 가진) 아빠의 임신  : tvN 기획 특집</t>
  </si>
  <si>
    <t>tvN 기획 특집 아빠의 임신 제작팀</t>
  </si>
  <si>
    <t>JD0000023252</t>
  </si>
  <si>
    <t>아이들은 놀이가 밥이다  : 대한민구 부모님과 선생님께 드리는 글</t>
  </si>
  <si>
    <t>편해문 글</t>
  </si>
  <si>
    <t>소나무</t>
  </si>
  <si>
    <t>JD0000023253</t>
  </si>
  <si>
    <t>아이에게 권력을!  : 대한민국 부모들에게 권하는 역할 교환 프로젝트</t>
  </si>
  <si>
    <t>요헨 메츠거 지음 ;엄양선 옮김</t>
  </si>
  <si>
    <t>JD0000023254</t>
  </si>
  <si>
    <t>아이의 사회성</t>
  </si>
  <si>
    <t>이영애 지음</t>
  </si>
  <si>
    <t>지식채널</t>
  </si>
  <si>
    <t>JD0000023255</t>
  </si>
  <si>
    <t>(안효주) 손끝으로 세상과 소통하다  : 최고의 초밥장인 안효주의 훈훈한 요리와 인생이야기</t>
  </si>
  <si>
    <t>안효주 저</t>
  </si>
  <si>
    <t>전나무숲</t>
  </si>
  <si>
    <t>JD0000023256</t>
  </si>
  <si>
    <t>암, 걸리고도 잘사는 법  : 《암환자는 암으로 죽지 않는다》의 최일봉 박사가 속 시원히 밝혀주는 암에 대한 모든 것</t>
  </si>
  <si>
    <t>최일봉 지음</t>
  </si>
  <si>
    <t>율리시즈</t>
  </si>
  <si>
    <t>JD0000023257</t>
  </si>
  <si>
    <t>엄마 아빠, 놀아줘  : &lt;방귀대장 뿡뿡이&gt; 유아체육 전문가 김도연 선생님이 알려주는 가족운동 놀이 92</t>
  </si>
  <si>
    <t>김도연 지음</t>
  </si>
  <si>
    <t>웅진리빙하우스</t>
  </si>
  <si>
    <t>JD0000023258</t>
  </si>
  <si>
    <t>자궁근종 바로알기  : 한방과 양방의 진단과 치료</t>
  </si>
  <si>
    <t>박성우 ;박웅 지음</t>
  </si>
  <si>
    <t>책나무 출판사</t>
  </si>
  <si>
    <t>JD0000023259</t>
  </si>
  <si>
    <t>진짜 채소는 그렇게 푸르지 않다  : 우리가 미처 몰랐던 채소의 진실</t>
  </si>
  <si>
    <t>가와나 히데오 지음 ;전선영 옮김</t>
  </si>
  <si>
    <t>판미동</t>
  </si>
  <si>
    <t>JD0000023260</t>
  </si>
  <si>
    <t>(황수관 박사의) 웃음치료 유머  = Smile therapy through humor  : 세상에서 가장 필요하고 유익한 웃음에 관한 모든 이야기</t>
  </si>
  <si>
    <t>황수관 엮음</t>
  </si>
  <si>
    <t>세줄</t>
  </si>
  <si>
    <t>JD0000023261</t>
  </si>
  <si>
    <t>효소는 건강의 시작  = Enzyme, the beginning of health  : 효소박사와 효소장인의 행복한 효소 이야기</t>
  </si>
  <si>
    <t>신현재 ;김장환 지음</t>
  </si>
  <si>
    <t>이채</t>
  </si>
  <si>
    <t>JD0000023262</t>
  </si>
  <si>
    <t>효재의 살림연장  : 살림 좋아하는 여자의 30년 살림의 기록</t>
  </si>
  <si>
    <t>이효재 저</t>
  </si>
  <si>
    <t>중앙M&amp;B</t>
  </si>
  <si>
    <t>JD0000023263</t>
  </si>
  <si>
    <t>변신. 시골의사</t>
  </si>
  <si>
    <t>프란츠 카프카 지음 ;전영애 옮김</t>
  </si>
  <si>
    <t>민음사</t>
  </si>
  <si>
    <t>JD0000023264</t>
  </si>
  <si>
    <t>동물농장</t>
  </si>
  <si>
    <t>조지 오웰 지음 ;도정일 옮김</t>
  </si>
  <si>
    <t>JD0000023265</t>
  </si>
  <si>
    <t>허클베리 핀의 모험</t>
  </si>
  <si>
    <t>마크 트웨인 지음 ;김욱동 옮김</t>
  </si>
  <si>
    <t>JD0000023266</t>
  </si>
  <si>
    <t>한국단편문학선. 1</t>
  </si>
  <si>
    <t>김동인 외 지음 ;이남호 엮음</t>
  </si>
  <si>
    <t>JD0000023267</t>
  </si>
  <si>
    <t>한국단편문학선. 2</t>
  </si>
  <si>
    <t>JD0000023268</t>
  </si>
  <si>
    <t>파우스트. 1</t>
  </si>
  <si>
    <t>요한 볼프강 폰 괴테 지음 ;정서웅 옮김</t>
  </si>
  <si>
    <t>JD0000023269</t>
  </si>
  <si>
    <t>파우스트. 2</t>
  </si>
  <si>
    <t>JD0000023270</t>
  </si>
  <si>
    <t>젊은 베르테르의 슬픔</t>
  </si>
  <si>
    <t>요한 볼프강 폰 괴테 지음 ;박찬기 옮김</t>
  </si>
  <si>
    <t>JD0000023271</t>
  </si>
  <si>
    <t>양철북. 1</t>
  </si>
  <si>
    <t>귄터 그라스 지음 ;장희창 옮김</t>
  </si>
  <si>
    <t>JD0000023272</t>
  </si>
  <si>
    <t>양철북. 2</t>
  </si>
  <si>
    <t>JD0000023273</t>
  </si>
  <si>
    <t>고도를 기다리며</t>
  </si>
  <si>
    <t>사무엘 베케트 지음 ;오증자 옮김</t>
  </si>
  <si>
    <t>JD0000023274</t>
  </si>
  <si>
    <t>싯다르타</t>
  </si>
  <si>
    <t>헤르만 헤세 지음 ;박병덕 옮김</t>
  </si>
  <si>
    <t>JD0000023275</t>
  </si>
  <si>
    <t>구운몽</t>
  </si>
  <si>
    <t>김만중 지음 ;송성욱 옮김</t>
  </si>
  <si>
    <t>JD0000023276</t>
  </si>
  <si>
    <t>이솝 우화집</t>
  </si>
  <si>
    <t>이솝 지음 ;유종호 옮김</t>
  </si>
  <si>
    <t>JD0000023277</t>
  </si>
  <si>
    <t>조지 오웰 지음 ;정회성 옮김</t>
  </si>
  <si>
    <t>JD0000023278</t>
  </si>
  <si>
    <t>팡세</t>
  </si>
  <si>
    <t>파스칼 지음 ;이환 옮김</t>
  </si>
  <si>
    <t>JD0000023279</t>
  </si>
  <si>
    <t>부활. 1</t>
  </si>
  <si>
    <t>톨스토이 지음 ;박형규 옮김</t>
  </si>
  <si>
    <t>JD0000023280</t>
  </si>
  <si>
    <t>부활. 2</t>
  </si>
  <si>
    <t>JD0000023281</t>
  </si>
  <si>
    <t>차라투스트라는 이렇게 말했다</t>
  </si>
  <si>
    <t>프리드리히 니체 지음 ;장희창 옮김</t>
  </si>
  <si>
    <t>JD0000023282</t>
  </si>
  <si>
    <t>춘향전</t>
  </si>
  <si>
    <t>송성욱 풀어옮김 ;백범영 그림</t>
  </si>
  <si>
    <t>JD0000023283</t>
  </si>
  <si>
    <t>돼지꿈  : 황석영 소설집</t>
  </si>
  <si>
    <t>황석영 지음</t>
  </si>
  <si>
    <t>JD0000023284</t>
  </si>
  <si>
    <t>리어 왕</t>
  </si>
  <si>
    <t>윌리엄 셰익스피어 지음 ;최종철 옮김</t>
  </si>
  <si>
    <t>JD0000023285</t>
  </si>
  <si>
    <t>무진기행  : 김승옥 소설집</t>
  </si>
  <si>
    <t>김승옥 지음</t>
  </si>
  <si>
    <t>JD0000023286</t>
  </si>
  <si>
    <t>카라마조프 가의 형제들. 1</t>
  </si>
  <si>
    <t>도스토예프스키 지음 ;김연경 옮김</t>
  </si>
  <si>
    <t>JD0000023287</t>
  </si>
  <si>
    <t>카라마조프 가의 형제들. 2</t>
  </si>
  <si>
    <t>JD0000023288</t>
  </si>
  <si>
    <t>카라마조프 가의 형제들. 3</t>
  </si>
  <si>
    <t>JD0000023289</t>
  </si>
  <si>
    <t>삼국유사</t>
  </si>
  <si>
    <t>일연 지음 ;김원중 옮김</t>
  </si>
  <si>
    <t>JD0000023290</t>
  </si>
  <si>
    <t>보이지 않는 인간. 1</t>
  </si>
  <si>
    <t>랠프 엘리슨 지음 ;조영환 옮김</t>
  </si>
  <si>
    <t>JD0000023291</t>
  </si>
  <si>
    <t>보이지 않는 인간. 2</t>
  </si>
  <si>
    <t>JD0000023292</t>
  </si>
  <si>
    <t>홍길동전</t>
  </si>
  <si>
    <t>허균 지음 ;김탁환 풀어 옮김 ;백범영 그림</t>
  </si>
  <si>
    <t>JD0000023293</t>
  </si>
  <si>
    <t>아이와 함께 제주도 배낭여행하기</t>
  </si>
  <si>
    <t>김정주 지음</t>
  </si>
  <si>
    <t>플럼북스</t>
  </si>
  <si>
    <t>JD0000023294</t>
  </si>
  <si>
    <t>바람에 실려 온 사랑, 가을날 노래가 되어</t>
  </si>
  <si>
    <t>조윤형 풀어씀 ;김은정 그림</t>
  </si>
  <si>
    <t>나라말</t>
  </si>
  <si>
    <t>JD0000023295</t>
  </si>
  <si>
    <t>수성궁 담장이 저리 높은들</t>
  </si>
  <si>
    <t>임정아 풀어씀 ;김은정 그림</t>
  </si>
  <si>
    <t>JD0000023296</t>
  </si>
  <si>
    <t>국어시간에 생활글읽기. 1</t>
  </si>
  <si>
    <t>전국국어교사모임 엮음</t>
  </si>
  <si>
    <t>휴머니스트</t>
  </si>
  <si>
    <t>JD0000023297</t>
  </si>
  <si>
    <t>국어시간에 생활글읽기. 2</t>
  </si>
  <si>
    <t>JD0000023298</t>
  </si>
  <si>
    <t>국어시간에 세계시읽기</t>
  </si>
  <si>
    <t>JD0000023299</t>
  </si>
  <si>
    <t>국어 시간에 수필 읽기. 1 :, 초급</t>
  </si>
  <si>
    <t>김주환 ;윤영선 엮음</t>
  </si>
  <si>
    <t>우리학교</t>
  </si>
  <si>
    <t>JD0000023300</t>
  </si>
  <si>
    <t>국어 시간에 수필 읽기. 2 :, 중급</t>
  </si>
  <si>
    <t>JD0000023301</t>
  </si>
  <si>
    <t>국어 시간에 수필 읽기. 3 :, 고급</t>
  </si>
  <si>
    <t>JD0000023302</t>
  </si>
  <si>
    <t>(국역) 경당일기</t>
  </si>
  <si>
    <t>장흥효 지음 ;강정서 ;김영옥 ;남춘우 ;전백찬 옮김</t>
  </si>
  <si>
    <t>한국국학진흥원</t>
  </si>
  <si>
    <t>JD0000023303</t>
  </si>
  <si>
    <t>(국역)임진일록</t>
  </si>
  <si>
    <t>김종 지음 ;최연숙 옮김</t>
  </si>
  <si>
    <t>JD0000023304</t>
  </si>
  <si>
    <t>군청색 캔버스  : 스기하라 사야카. 16세 여름</t>
  </si>
  <si>
    <t>아카가와 지로 지음 ;한성례 옮김</t>
  </si>
  <si>
    <t>씨엘북스</t>
  </si>
  <si>
    <t>JD0000023305</t>
  </si>
  <si>
    <t>굿바이 동물원  : 강태식 장편소설</t>
  </si>
  <si>
    <t>강태식 지음</t>
  </si>
  <si>
    <t>한겨레출판</t>
  </si>
  <si>
    <t>JD0000023306</t>
  </si>
  <si>
    <t>범죄소설  : 그 기원과 매혹</t>
  </si>
  <si>
    <t>김용언 지음</t>
  </si>
  <si>
    <t>강</t>
  </si>
  <si>
    <t>JD0000023307</t>
  </si>
  <si>
    <t>텃밭. 제1권  : 한폭의 수채화처럼 펼쳐지는 흙의 숨소리, 자연의 웃음소리</t>
  </si>
  <si>
    <t>최민호 만화</t>
  </si>
  <si>
    <t>JD0000023308</t>
  </si>
  <si>
    <t>텃밭. 제2권  : 한폭의 수채화처럼 펼쳐지는 흙의 숨소리, 자연의 웃음소리</t>
  </si>
  <si>
    <t>JD0000023309</t>
  </si>
  <si>
    <t>스페인 곶 미스터리</t>
  </si>
  <si>
    <t>엘러리 퀸 지음 ;김예진 옮김</t>
  </si>
  <si>
    <t>검은숲</t>
  </si>
  <si>
    <t>JD0000023310</t>
  </si>
  <si>
    <t>두번째 사랑이 온다면  : 홀로서기 25년 서정윤 에세이</t>
  </si>
  <si>
    <t>서정윤 지음 ;유별남 사진</t>
  </si>
  <si>
    <t>공감의기쁨</t>
  </si>
  <si>
    <t>JD0000023311</t>
  </si>
  <si>
    <t>성난 물소 놓아 주기</t>
  </si>
  <si>
    <t>아잔 브라흐마 지음 ;김훈 옮김</t>
  </si>
  <si>
    <t>JD0000023312</t>
  </si>
  <si>
    <t>문학의 도끼로 내 삶을 깨워라  : 문정희 산문집</t>
  </si>
  <si>
    <t>문정희 지음</t>
  </si>
  <si>
    <t>다산책방</t>
  </si>
  <si>
    <t>JD0000023313</t>
  </si>
  <si>
    <t>앨리스와 앨리스  : 같은 시간을 두 번 산 소녀의 이야기</t>
  </si>
  <si>
    <t>페넬로페 부시 지음 ;정윤희 옮김</t>
  </si>
  <si>
    <t>RHK</t>
  </si>
  <si>
    <t>JD0000023314</t>
  </si>
  <si>
    <t>개와 영혼이 뒤바뀐 여자  : 엘사 왓슨 장편소설</t>
  </si>
  <si>
    <t>엘사 왓슨 지음 ;황금진 옮김</t>
  </si>
  <si>
    <t>레드박스</t>
  </si>
  <si>
    <t>JD0000023315</t>
  </si>
  <si>
    <t>문재인이 드립니다  : 꿈을 놓아버린 이 땅의 청춘들을 위한 포토에세이</t>
  </si>
  <si>
    <t>문재인 지음</t>
  </si>
  <si>
    <t>리더스북</t>
  </si>
  <si>
    <t>JD0000023316</t>
  </si>
  <si>
    <t>세상에 예쁜 것</t>
  </si>
  <si>
    <t>박완서 지음</t>
  </si>
  <si>
    <t>마음산책</t>
  </si>
  <si>
    <t>JD0000023317</t>
  </si>
  <si>
    <t>지지 않는다는 말  : 김연수 산문집</t>
  </si>
  <si>
    <t>김연수 지음</t>
  </si>
  <si>
    <t>마음의 숲</t>
  </si>
  <si>
    <t>JD0000023318</t>
  </si>
  <si>
    <t>럼 다이어리</t>
  </si>
  <si>
    <t>헌터 S. 톰슨 지음 ;장호연 옮김</t>
  </si>
  <si>
    <t>마티</t>
  </si>
  <si>
    <t>JD0000023319</t>
  </si>
  <si>
    <t>놓치고 싶지 않은 이별  : 앤 타일러 소설</t>
  </si>
  <si>
    <t>앤 타일러 지음 ;공경희 옮김</t>
  </si>
  <si>
    <t>멜론</t>
  </si>
  <si>
    <t>JD0000023320</t>
  </si>
  <si>
    <t>내가 원하는 천사  : 허연 시집</t>
  </si>
  <si>
    <t>허연 지음</t>
  </si>
  <si>
    <t>문학과지성사</t>
  </si>
  <si>
    <t>JD0000023321</t>
  </si>
  <si>
    <t>비행운  : 김애란 소설집</t>
  </si>
  <si>
    <t>김애란 지음</t>
  </si>
  <si>
    <t>JD0000023322</t>
  </si>
  <si>
    <t>아르센 뤼팽의 마지막 사랑  : 모리스 르블랑 장편소설</t>
  </si>
  <si>
    <t>모리스 르블랑 지음 ;성귀수 옮김</t>
  </si>
  <si>
    <t>JD0000023323</t>
  </si>
  <si>
    <t>악어들의 노란 눈. 1  : 카트린 팡콜 장편소설</t>
  </si>
  <si>
    <t>카트린 팡콜 지음 ;장소미 옮김</t>
  </si>
  <si>
    <t>JD0000023324</t>
  </si>
  <si>
    <t>악어들의 노란 눈. 2  : 카트린 팡콜 장편소설</t>
  </si>
  <si>
    <t>JD0000023325</t>
  </si>
  <si>
    <t>P세대</t>
  </si>
  <si>
    <t>빅토르 펠레빈 지음 ;박혜경 옮김</t>
  </si>
  <si>
    <t>JD0000023326</t>
  </si>
  <si>
    <t>바람이 우리를 데려다 주리라</t>
  </si>
  <si>
    <t>포루그 파로흐자드 지음 ;신양섭 옮김</t>
  </si>
  <si>
    <t>문학의숲</t>
  </si>
  <si>
    <t>JD0000023327</t>
  </si>
  <si>
    <t>아무것도 말할 필요가 없다</t>
  </si>
  <si>
    <t>오시프 만델슈탐 지음 ;조주관 옮김</t>
  </si>
  <si>
    <t>JD0000023328</t>
  </si>
  <si>
    <t>정숙씨 세상과 바람나다</t>
  </si>
  <si>
    <t>김정숙 글</t>
  </si>
  <si>
    <t>미래를소유란사람들</t>
  </si>
  <si>
    <t>JD0000023329</t>
  </si>
  <si>
    <t>서른엔 행복해지기로 했다</t>
  </si>
  <si>
    <t>김신회 지음</t>
  </si>
  <si>
    <t>미호</t>
  </si>
  <si>
    <t>JD0000023330</t>
  </si>
  <si>
    <t>패션 다이어리  = Fashion diary</t>
  </si>
  <si>
    <t>권순수 지음</t>
  </si>
  <si>
    <t>JD0000023331</t>
  </si>
  <si>
    <t>광수생각  = Kwang Soo`s thought  : 오늘, 나에게 감사해</t>
  </si>
  <si>
    <t>박광수 지음</t>
  </si>
  <si>
    <t>북클라우드</t>
  </si>
  <si>
    <t>JD0000023332</t>
  </si>
  <si>
    <t>따뜻함을 드세요</t>
  </si>
  <si>
    <t>오가와 이토 지음 ;권남희 옮김</t>
  </si>
  <si>
    <t>북폴리오</t>
  </si>
  <si>
    <t>JD0000023333</t>
  </si>
  <si>
    <t>나에게, 여행을  : 칼럼니스트 박사의 '여자들의 여행법</t>
  </si>
  <si>
    <t>박사 지음</t>
  </si>
  <si>
    <t>북하우스</t>
  </si>
  <si>
    <t>JD0000023334</t>
  </si>
  <si>
    <t>조화의 꿀  : 렌조 니키히코 장편소설</t>
  </si>
  <si>
    <t>렌조 니키히코 지음 ;김은모 옮김</t>
  </si>
  <si>
    <t>BOOKHOLIC</t>
  </si>
  <si>
    <t>JD0000023335</t>
  </si>
  <si>
    <t>악녀를 위한 밤  : 존 버든 장편소설</t>
  </si>
  <si>
    <t>존 버든 지음 ;이진 옮김</t>
  </si>
  <si>
    <t>비채</t>
  </si>
  <si>
    <t>JD0000023336</t>
  </si>
  <si>
    <t>그 녀석의 몽타주  : 차영민 장편소설</t>
  </si>
  <si>
    <t>차영민 지음</t>
  </si>
  <si>
    <t>새움출판사</t>
  </si>
  <si>
    <t>JD0000023337</t>
  </si>
  <si>
    <t>돌아와 앉은 오후 네시</t>
  </si>
  <si>
    <t>권오영 지음</t>
  </si>
  <si>
    <t>소동</t>
  </si>
  <si>
    <t>JD0000023338</t>
  </si>
  <si>
    <t>(신나게 놀고 쉽게 공부하는) 교과서 문학기행  : 현직 국어교사 짱아샘과 함께 떠나는 중고생 필수 여행코스</t>
  </si>
  <si>
    <t>장은숙 지음</t>
  </si>
  <si>
    <t>소란</t>
  </si>
  <si>
    <t>JD0000023339</t>
  </si>
  <si>
    <t>나 이재익, 크리에이터</t>
  </si>
  <si>
    <t>이재익 지음</t>
  </si>
  <si>
    <t>시공사</t>
  </si>
  <si>
    <t>JD0000023340</t>
  </si>
  <si>
    <t>수비의 기술. 1</t>
  </si>
  <si>
    <t>채드 하바크 지음 ;문은실 옮김</t>
  </si>
  <si>
    <t>JD0000023341</t>
  </si>
  <si>
    <t>수비의 기술. 2</t>
  </si>
  <si>
    <t>JD0000023342</t>
  </si>
  <si>
    <t>식탐  : 길 내는 여자 서명숙 먹으멍 세상을 떠돌다</t>
  </si>
  <si>
    <t>서명숙 지음</t>
  </si>
  <si>
    <t>참언론 시사in북</t>
  </si>
  <si>
    <t>JD0000023343</t>
  </si>
  <si>
    <t>오히려 다정한 사람들이 살고 있다  : 임성순 장편소설</t>
  </si>
  <si>
    <t>임성순 지음</t>
  </si>
  <si>
    <t>실천문학</t>
  </si>
  <si>
    <t>JD0000023344</t>
  </si>
  <si>
    <t>사람으로 살고 싶었다  : 국경을 넘어 2만 킬로미터, 전 세계를 울린 눈물의 감동실화</t>
  </si>
  <si>
    <t>이학준 지음</t>
  </si>
  <si>
    <t>쌤앤파커스</t>
  </si>
  <si>
    <t>JD0000023345</t>
  </si>
  <si>
    <t>결혼해도 똑같네. 1</t>
  </si>
  <si>
    <t>네온비 글. 그림</t>
  </si>
  <si>
    <t>애니북스</t>
  </si>
  <si>
    <t>JD0000023346</t>
  </si>
  <si>
    <t>청춘 고민 상담소  : 청춘이 버려야 할 10가지</t>
  </si>
  <si>
    <t>한동헌 외 지음</t>
  </si>
  <si>
    <t>엘도라도</t>
  </si>
  <si>
    <t>JD0000023347</t>
  </si>
  <si>
    <t>남자의 자리</t>
  </si>
  <si>
    <t>아니 에르노 지음 ;임호경 옮김</t>
  </si>
  <si>
    <t>열린책들</t>
  </si>
  <si>
    <t>JD0000023348</t>
  </si>
  <si>
    <t>머물지 마라 그 아픈 상처에</t>
  </si>
  <si>
    <t>허허당 지음</t>
  </si>
  <si>
    <t>JD0000023349</t>
  </si>
  <si>
    <t>여름이 끝날 무렵의 라 트라비아타</t>
  </si>
  <si>
    <t>이부키 유키 지음 ;김해용 옮김</t>
  </si>
  <si>
    <t>JD0000023350</t>
  </si>
  <si>
    <t>생활의 참견  : 운수 좋은 날  : 김양수의 카툰판타지</t>
  </si>
  <si>
    <t>김양수 만화</t>
  </si>
  <si>
    <t>JD0000023351</t>
  </si>
  <si>
    <t>힘내라는 말은 흔하니까  : 고3 딸을 응원하는 엄마의 사진 일기</t>
  </si>
  <si>
    <t>소광숙 사진·글</t>
  </si>
  <si>
    <t>오마이북</t>
  </si>
  <si>
    <t>JD0000023352</t>
  </si>
  <si>
    <t>곧, 어른의 시간이 시작된다  : 백영옥 산문집</t>
  </si>
  <si>
    <t>백영옥 지음</t>
  </si>
  <si>
    <t>웅진지식하우스</t>
  </si>
  <si>
    <t>JD0000023353</t>
  </si>
  <si>
    <t>최소한의 사랑  : 전경린 장편소설</t>
  </si>
  <si>
    <t>전경린 지음</t>
  </si>
  <si>
    <t>JD0000023354</t>
  </si>
  <si>
    <t>우리들의 발라카이  : 볼프강 헤른도르프 장편소설</t>
  </si>
  <si>
    <t>볼프강 헤른도르프 ;박규호 옮김</t>
  </si>
  <si>
    <t>은행나무</t>
  </si>
  <si>
    <t>JD0000023355</t>
  </si>
  <si>
    <t>퐁퐁 달리아  = Pompon dalia  : 신혜진 소설집</t>
  </si>
  <si>
    <t>신혜진 지음</t>
  </si>
  <si>
    <t>JD0000023356</t>
  </si>
  <si>
    <t>한밤중의 베이커리  : 오누마 노리코 장편소설</t>
  </si>
  <si>
    <t>오누마 노리코 지음 ;김윤수 옮김</t>
  </si>
  <si>
    <t>JD0000023357</t>
  </si>
  <si>
    <t>전지전능한 할머니가 죽었다</t>
  </si>
  <si>
    <t>가브리엘 루아 지음 ;이소영 옮김</t>
  </si>
  <si>
    <t>이덴슬리벨</t>
  </si>
  <si>
    <t>JD0000023358</t>
  </si>
  <si>
    <t>행복했던 날들만 기억해</t>
  </si>
  <si>
    <t>신종한 외 지음</t>
  </si>
  <si>
    <t>이숲</t>
  </si>
  <si>
    <t>JD0000023359</t>
  </si>
  <si>
    <t>(부부소소사) 불편하고 행복하게. 1  : 시골 만화 에세이</t>
  </si>
  <si>
    <t>홍연식 글·그림</t>
  </si>
  <si>
    <t>재미주의</t>
  </si>
  <si>
    <t>JD0000023360</t>
  </si>
  <si>
    <t>엄마도 때론 사표 내고 싶다  : 대한민국에서 엄마로 산다는 것</t>
  </si>
  <si>
    <t>문현아 지음</t>
  </si>
  <si>
    <t>지식노마드</t>
  </si>
  <si>
    <t>JD0000023361</t>
  </si>
  <si>
    <t>즐거운 그림책 쓰기  : 그림책 작가를 위한 창작입문서</t>
  </si>
  <si>
    <t>현은자 ;최경 ;윤아해 공저</t>
  </si>
  <si>
    <t>학지사</t>
  </si>
  <si>
    <t>JD0000023362</t>
  </si>
  <si>
    <t>로큰롤 미싱  = Rock'nroll mishin 2009</t>
  </si>
  <si>
    <t>스즈키 세이고 지음 ;권남희 옮김</t>
  </si>
  <si>
    <t>현대문학</t>
  </si>
  <si>
    <t>JD0000023363</t>
  </si>
  <si>
    <t>윤동주 프로젝트. 1  : 유광수 장편소설</t>
  </si>
  <si>
    <t>유광수 지음</t>
  </si>
  <si>
    <t>휴먼앤북스</t>
  </si>
  <si>
    <t>JD0000023364</t>
  </si>
  <si>
    <t>윤동주 프로젝트. 2  : 유광수 장편소설</t>
  </si>
  <si>
    <t>JD0000023365</t>
  </si>
  <si>
    <t>시인 백석. 1 :, 가난한 내가, 사슴을 안고</t>
  </si>
  <si>
    <t>송준 지음</t>
  </si>
  <si>
    <t>흰당나귀</t>
  </si>
  <si>
    <t>JD0000023366</t>
  </si>
  <si>
    <t>시인 백석. 2 :, 만인의 연인, 쓸쓸한 영혼</t>
  </si>
  <si>
    <t>JD0000023367</t>
  </si>
  <si>
    <t>시인 백석. 3 :, 산골로 가자, 세상을 업고</t>
  </si>
  <si>
    <t>JD0000023368</t>
  </si>
  <si>
    <t>만년  = 晩年</t>
  </si>
  <si>
    <t>다자이 오사무 지음 ;정수윤 옮김</t>
  </si>
  <si>
    <t>도서출판 b</t>
  </si>
  <si>
    <t>JD0000023369</t>
  </si>
  <si>
    <t>사랑과 미에 대하여</t>
  </si>
  <si>
    <t>다자이 오사무 지음 ;최혜수 옮김</t>
  </si>
  <si>
    <t>도서출판b</t>
  </si>
  <si>
    <t>JD0000023370</t>
  </si>
  <si>
    <t>유다의 고백</t>
  </si>
  <si>
    <t>다자이 오사무 지음 ;김재원 옮김</t>
  </si>
  <si>
    <t>JD0000023371</t>
  </si>
  <si>
    <t>(3만엔 비즈니스) 적게 일하고 더 행복하기</t>
  </si>
  <si>
    <t>후지무라 야스유키 지음 ;김유익 옮김</t>
  </si>
  <si>
    <t>북센스</t>
  </si>
  <si>
    <t>JD0000023372</t>
  </si>
  <si>
    <t>고객을 내 편으로 만드는 액션플랜  = Customers for making my side action plan</t>
  </si>
  <si>
    <t>이내화 지음</t>
  </si>
  <si>
    <t>모아북스</t>
  </si>
  <si>
    <t>JD0000023373</t>
  </si>
  <si>
    <t>마르크스가 예측한 미래사회  = Marx on the future society after capitalism : association of free individuals  : 자유로운 개인들의 연합</t>
  </si>
  <si>
    <t>김수행 지음</t>
  </si>
  <si>
    <t>한울</t>
  </si>
  <si>
    <t>JD0000023374</t>
  </si>
  <si>
    <t>(알기 쉬운) 녹색경영  = Green management</t>
  </si>
  <si>
    <t>최선 ;박선경 ;김용현 ;이성철 공저</t>
  </si>
  <si>
    <t>한경사</t>
  </si>
  <si>
    <t>JD0000023375</t>
  </si>
  <si>
    <t>(입대를 앞둔 아들과 엄마가 알아야 할) 군대 이야기</t>
  </si>
  <si>
    <t>백건호 지음</t>
  </si>
  <si>
    <t>북코리아</t>
  </si>
  <si>
    <t>JD0000023376</t>
  </si>
  <si>
    <t>(직장인이 갖추어야 할) 인간관계론과 경제활동  : 사회생활이 원만해야 출세를 한다</t>
  </si>
  <si>
    <t>김경자 지음</t>
  </si>
  <si>
    <t>나눔A&amp;T</t>
  </si>
  <si>
    <t>JD0000023377</t>
  </si>
  <si>
    <t>티머시 패키릿 지음 ;이지훈 옮김</t>
  </si>
  <si>
    <t>애플북스</t>
  </si>
  <si>
    <t>JD0000023378</t>
  </si>
  <si>
    <t>로버트 케네디 지음 ;박수민 옮김</t>
  </si>
  <si>
    <t>JD0000023379</t>
  </si>
  <si>
    <t>(초일류 기업 성장의 비밀) 1시간 기획</t>
  </si>
  <si>
    <t>조 칼훈 지음 ;임명주 옮김</t>
  </si>
  <si>
    <t>서돌</t>
  </si>
  <si>
    <t>JD0000023380</t>
  </si>
  <si>
    <t>(20만 중학생을 위한) 기적의 공부 공식</t>
  </si>
  <si>
    <t>이병훈 지음</t>
  </si>
  <si>
    <t>경향에듀</t>
  </si>
  <si>
    <t>JD0000023381</t>
  </si>
  <si>
    <t>이규금 ;윤덕병 ;장정근 ;조준희 지음</t>
  </si>
  <si>
    <t>대경</t>
  </si>
  <si>
    <t>JD0000023382</t>
  </si>
  <si>
    <t>백금자 지음</t>
  </si>
  <si>
    <t>북스토리</t>
  </si>
  <si>
    <t>JD0000023383</t>
  </si>
  <si>
    <t>김정태 저</t>
  </si>
  <si>
    <t>에세이</t>
  </si>
  <si>
    <t>JD0000023384</t>
  </si>
  <si>
    <t>Growing older  : 시니어 &amp; 베이비부머 세대의 관광과 레저</t>
  </si>
  <si>
    <t>I. Patterson [지음] ;김용욱 ;김진 ;신정영 [공편역]</t>
  </si>
  <si>
    <t>한올</t>
  </si>
  <si>
    <t>JD0000023385</t>
  </si>
  <si>
    <t>어떻게 일할 것인가  = How to Work Like Steve Jobs  : 스티브 잡스에게 배우는 제대로 일하는 법</t>
  </si>
  <si>
    <t>안상헌 지음</t>
  </si>
  <si>
    <t>JD0000023386</t>
  </si>
  <si>
    <t>(결혼과 동시에 부자되는) 커플 리치  = Couple Rich</t>
  </si>
  <si>
    <t>이천 지음</t>
  </si>
  <si>
    <t>알투스</t>
  </si>
  <si>
    <t>JD0000023387</t>
  </si>
  <si>
    <t>(실전사례로 배우는) 경매 이야기</t>
  </si>
  <si>
    <t>권오현 저</t>
  </si>
  <si>
    <t>진원사</t>
  </si>
  <si>
    <t>JD0000023388</t>
  </si>
  <si>
    <t>(Must know) 경제기사 X-파일</t>
  </si>
  <si>
    <t>금나반 기지단 지음</t>
  </si>
  <si>
    <t>미래의창</t>
  </si>
  <si>
    <t>JD0000023389</t>
  </si>
  <si>
    <t>고소 고발 처음부터 끝까지  : 고소 고발의 작성사례 및 질의 답변</t>
  </si>
  <si>
    <t>생활법률연구원 편저 ;김영환 감수</t>
  </si>
  <si>
    <t>법문북스</t>
  </si>
  <si>
    <t>JD0000023390</t>
  </si>
  <si>
    <t>공부궁리  : 당신의 삶을 변화시키는 놀라운 공부법</t>
  </si>
  <si>
    <t>노경원 ;김연 공저</t>
  </si>
  <si>
    <t>소리미디어</t>
  </si>
  <si>
    <t>JD0000023391</t>
  </si>
  <si>
    <t>공연 마케팅, 리허설은 없다  : 10년차 마케터들이 말하는 리얼 마케팅</t>
  </si>
  <si>
    <t>김동우 ;안광배 [공]저</t>
  </si>
  <si>
    <t>소야</t>
  </si>
  <si>
    <t>JD0000023392</t>
  </si>
  <si>
    <t>곽노현 버리기  : 보수의 공격, 진영의 배반, 외로운 투쟁</t>
  </si>
  <si>
    <t>함세웅 외 지음</t>
  </si>
  <si>
    <t>책으로보는세상</t>
  </si>
  <si>
    <t>JD0000023393</t>
  </si>
  <si>
    <t>관광법규와 사례분석  = (The) laws of tourism</t>
  </si>
  <si>
    <t>원철식 ;최영준 ;정연국 공저</t>
  </si>
  <si>
    <t>백산출판사</t>
  </si>
  <si>
    <t>JD0000023394</t>
  </si>
  <si>
    <t>교사, 수업에서 나를 만나다  : 교사의 내면을 세우는 수업 성찰</t>
  </si>
  <si>
    <t>김태현 지음</t>
  </si>
  <si>
    <t>좋은교사</t>
  </si>
  <si>
    <t>JD0000023395</t>
  </si>
  <si>
    <t>교사를 춤추게 하라  : 당신과 내가 함께 바꿔야 할 교육 이야기</t>
  </si>
  <si>
    <t>우치다 타츠루 지음 ;박동섭 옮김</t>
  </si>
  <si>
    <t>민들레</t>
  </si>
  <si>
    <t>JD0000023396</t>
  </si>
  <si>
    <t>교실 속 마을 활동  : 세 가지 모델로 체험하며 배우는 초등 경제 수업</t>
  </si>
  <si>
    <t>문경민 ;김혜영 ;김자윤 ;김희선 지음</t>
  </si>
  <si>
    <t>JD0000023397</t>
  </si>
  <si>
    <t>국민건강보험론  = National health insurance</t>
  </si>
  <si>
    <t>문상식 지음</t>
  </si>
  <si>
    <t>보문각</t>
  </si>
  <si>
    <t>JD0000023398</t>
  </si>
  <si>
    <t>국어공부 10회로 승부하기  : 읽기만 해도 언어영역 1등급</t>
  </si>
  <si>
    <t>강영길 지음</t>
  </si>
  <si>
    <t>한권의책</t>
  </si>
  <si>
    <t>JD0000023399</t>
  </si>
  <si>
    <t>JD0000023400</t>
  </si>
  <si>
    <t>국제화 시대 신의진의 복지와 건강  : 복지의 패러다임을 바꾸자  : 자기 주도적 복지론</t>
  </si>
  <si>
    <t>신의진 ;김영수 지음</t>
  </si>
  <si>
    <t>에세이퍼블리싱</t>
  </si>
  <si>
    <t>JD0000023401</t>
  </si>
  <si>
    <t>군중심리학의 ABC  = ABC of crowd psychology</t>
  </si>
  <si>
    <t>천둥위안 지음 ;이용욱 옮김</t>
  </si>
  <si>
    <t>인터북스</t>
  </si>
  <si>
    <t>JD0000023402</t>
  </si>
  <si>
    <t>굿바이 미루기  : 6만 시간, 6천 명이 동참한 미루기 탈출 프로젝트</t>
  </si>
  <si>
    <t>제프리 콤 지음 ;이지영 편역</t>
  </si>
  <si>
    <t>가디언</t>
  </si>
  <si>
    <t>JD0000023403</t>
  </si>
  <si>
    <t>권력의 포르노그래피</t>
  </si>
  <si>
    <t>로버트 쉬어 지음 ;노승영 옮김</t>
  </si>
  <si>
    <t>책으로 보는 세상</t>
  </si>
  <si>
    <t>JD0000023404</t>
  </si>
  <si>
    <t>근거없는 자신감으로 세상과 마주하라  : 비틀거리는 청춘을 위한 5단계 멘토링</t>
  </si>
  <si>
    <t>센다 다쿠야 지음 ;황미애 옮김</t>
  </si>
  <si>
    <t>프리뷰</t>
  </si>
  <si>
    <t>JD0000023405</t>
  </si>
  <si>
    <t>(반드시 통(通)하는) 기획서 시크릿 코드</t>
  </si>
  <si>
    <t>이영곤 지음</t>
  </si>
  <si>
    <t>새로운 제안</t>
  </si>
  <si>
    <t>JD0000023406</t>
  </si>
  <si>
    <t>김정은 체제와 북한의 개혁개방  = Kim Jong-un regime and the reform and liberalization of North Korea</t>
  </si>
  <si>
    <t>구해우 지음</t>
  </si>
  <si>
    <t>나남</t>
  </si>
  <si>
    <t>JD0000023407</t>
  </si>
  <si>
    <t>껍데기는 가라  : 정의구현사제단 함세웅 신부와의 대화</t>
  </si>
  <si>
    <t>함세웅 ;손석춘 지음</t>
  </si>
  <si>
    <t>알마</t>
  </si>
  <si>
    <t>JD0000023408</t>
  </si>
  <si>
    <t>남도민속문화론</t>
  </si>
  <si>
    <t>표인주 저</t>
  </si>
  <si>
    <t>민속원</t>
  </si>
  <si>
    <t>JD0000023409</t>
  </si>
  <si>
    <t>남도민속학</t>
  </si>
  <si>
    <t>전남대학교 출판부</t>
  </si>
  <si>
    <t>JD0000023410</t>
  </si>
  <si>
    <t>다름을 배우다  : 스티브 잡스, 빌 게이츠처럼 생각하고 워렌 버핏, 마쓰시타 고노스케처럼 행동하라</t>
  </si>
  <si>
    <t>장전강 엮음 ;홍민경 옮김</t>
  </si>
  <si>
    <t>재승출판</t>
  </si>
  <si>
    <t>JD0000023411</t>
  </si>
  <si>
    <t>다문화사회의 이해</t>
  </si>
  <si>
    <t>김경식 ;김춘경 ;이광석 ;이채문 ;이현철 ;임지영 ;정정희 ;조현미 공저</t>
  </si>
  <si>
    <t>신정</t>
  </si>
  <si>
    <t>JD0000023412</t>
  </si>
  <si>
    <t>독도의 진실  : 독도는 우리 땅인가</t>
  </si>
  <si>
    <t>강준식 지음</t>
  </si>
  <si>
    <t>태일소담</t>
  </si>
  <si>
    <t>JD0000023413</t>
  </si>
  <si>
    <t>무료 뉴스  : 인터넷은 저널리즘을 어떻게 바꾸었나</t>
  </si>
  <si>
    <t>엘리엇 킹 지음 ;김대경 옮김</t>
  </si>
  <si>
    <t>커뮤니케이션북스</t>
  </si>
  <si>
    <t>JD0000023414</t>
  </si>
  <si>
    <t>무모한 교사들</t>
  </si>
  <si>
    <t>송인수 지음</t>
  </si>
  <si>
    <t>좋은교사운동 출판부</t>
  </si>
  <si>
    <t>JD0000023415</t>
  </si>
  <si>
    <t>(일. 정보. 조직의 한계를 뛰어넘는)문제해결 기술  = Solutions for the bottleneck problem on business</t>
  </si>
  <si>
    <t>이시카와 가즈유키 저 ;김정환 역</t>
  </si>
  <si>
    <t>스펙트럼북스</t>
  </si>
  <si>
    <t>JD0000023416</t>
  </si>
  <si>
    <t>문화가 뭐길래</t>
  </si>
  <si>
    <t>한상덕 지음</t>
  </si>
  <si>
    <t>솔과 학</t>
  </si>
  <si>
    <t>JD0000023417</t>
  </si>
  <si>
    <t>(문화로 되살아난) 남도 5일장</t>
  </si>
  <si>
    <t>김옥경 지음</t>
  </si>
  <si>
    <t>JD0000023418</t>
  </si>
  <si>
    <t>(문화인을 위한) 글로벌 매너와 에티켓  = (The) global manners and etiquette for cultured person</t>
  </si>
  <si>
    <t>고종원 ;장용운 ;황지현 지음</t>
  </si>
  <si>
    <t>大旺社</t>
  </si>
  <si>
    <t>JD0000023419</t>
  </si>
  <si>
    <t>민권과 헌법</t>
  </si>
  <si>
    <t>마키하라 노리오 지음 ;박지영 옮김</t>
  </si>
  <si>
    <t>어문학사</t>
  </si>
  <si>
    <t>JD0000023420</t>
  </si>
  <si>
    <t>민의와 의론  : 동아시아 3국의 정치사상</t>
  </si>
  <si>
    <t>장현근 ;김정호 ;윤대식 ;이상익 ;조성환 ;박홍규 ;이세현 ;방상근 ;김영수 ;이원택 ;송완범 ;고희탁 ;노병호 지음</t>
  </si>
  <si>
    <t>이학사</t>
  </si>
  <si>
    <t>JD0000023421</t>
  </si>
  <si>
    <t>민주공화국 대한민국의 탄생  : 우리 민주주의는 언제, 어떻게 시작되었나?</t>
  </si>
  <si>
    <t>김육훈 지음</t>
  </si>
  <si>
    <t>Humanist</t>
  </si>
  <si>
    <t>JD0000023422</t>
  </si>
  <si>
    <t>부동산 사기열전</t>
  </si>
  <si>
    <t>조문현 지음</t>
  </si>
  <si>
    <t>지식과사람들</t>
  </si>
  <si>
    <t>JD0000023423</t>
  </si>
  <si>
    <t>사회문제론  = Social problems</t>
  </si>
  <si>
    <t>김윤재 ;김병학 ;이금주 ;오영숙 지음</t>
  </si>
  <si>
    <t>공동체</t>
  </si>
  <si>
    <t>JD0000023424</t>
  </si>
  <si>
    <t>사회복지행정론  = Social welfare administration</t>
  </si>
  <si>
    <t>이봉주 ;이선우 ;백종만 지음</t>
  </si>
  <si>
    <t>JD0000023425</t>
  </si>
  <si>
    <t>사회여론조사  : SPSS 활용</t>
  </si>
  <si>
    <t>오광식 지음</t>
  </si>
  <si>
    <t>경문사</t>
  </si>
  <si>
    <t>JD0000023426</t>
  </si>
  <si>
    <t>사회적 투자 매뉴얼  : 사회적기업가를 위한 소개서</t>
  </si>
  <si>
    <t>사회적 투자 대책위원회 편저 ;조영복 역</t>
  </si>
  <si>
    <t>JD0000023427</t>
  </si>
  <si>
    <t>삼성 출신 CEO는 왜 강한가  : 삼성의 26년차 인사담당 임원이 밝히는 삼성 인재 육성의 비밀</t>
  </si>
  <si>
    <t>조영환 지음</t>
  </si>
  <si>
    <t>북오션</t>
  </si>
  <si>
    <t>JD0000023428</t>
  </si>
  <si>
    <t>상사를 내 편으로 만드는 기술  : 성공하는 직장인을 위한 상사 코칭 매뉴얼</t>
  </si>
  <si>
    <t>혼마 마사토 지음 ;고진숙 옮김</t>
  </si>
  <si>
    <t>삽화 ;</t>
  </si>
  <si>
    <t>JD0000023429</t>
  </si>
  <si>
    <t>새벽  : 김대중 평전</t>
  </si>
  <si>
    <t>김택근 지음</t>
  </si>
  <si>
    <t>JD0000023430</t>
  </si>
  <si>
    <t>손정의 기적의 프레젠테이션  = Miraculous presentations  : 소프트뱅크 회장에게 배우는 사람을 움직이는 23가지 법칙</t>
  </si>
  <si>
    <t>미키 타케노부 지음 ;길주희 옮김</t>
  </si>
  <si>
    <t>문학스케치</t>
  </si>
  <si>
    <t>JD0000023431</t>
  </si>
  <si>
    <t>수능만점 비밀노트</t>
  </si>
  <si>
    <t>김현구 지음</t>
  </si>
  <si>
    <t>경향에듀 :경향미디어</t>
  </si>
  <si>
    <t>JD0000023432</t>
  </si>
  <si>
    <t>(교과부와 대교협이 절대 알려주지 않는) 수시의 진실</t>
  </si>
  <si>
    <t>신진상 저</t>
  </si>
  <si>
    <t>지공신공</t>
  </si>
  <si>
    <t>JD0000023433</t>
  </si>
  <si>
    <t>JD0000023434</t>
  </si>
  <si>
    <t>(쉽고 정확한) 입학사정관제 해법 자기소개서작성방법</t>
  </si>
  <si>
    <t>강충인 지음</t>
  </si>
  <si>
    <t>과학사랑</t>
  </si>
  <si>
    <t>JD0000023435</t>
  </si>
  <si>
    <t>스마트 권력이 바꾸고 있는 것들  : 사상 초유의 권력 투쟁이 시작됐다!</t>
  </si>
  <si>
    <t>이승제 지음</t>
  </si>
  <si>
    <t>JD0000023436</t>
  </si>
  <si>
    <t>신관광자원론  = New toursim resources</t>
  </si>
  <si>
    <t>박석희 지음</t>
  </si>
  <si>
    <t>JD0000023437</t>
  </si>
  <si>
    <t>(신세대의 명랑한) 직장생활과 예절</t>
  </si>
  <si>
    <t>기호익 ;이의현 공저</t>
  </si>
  <si>
    <t>대진</t>
  </si>
  <si>
    <t>JD0000023438</t>
  </si>
  <si>
    <t>아! 대한민국, 재벌공화국  : 한국경제, 재벌개혁에 칼을 뽑다</t>
  </si>
  <si>
    <t>이동연 지음</t>
  </si>
  <si>
    <t>JD0000023439</t>
  </si>
  <si>
    <t>(미국유학 7년차 세 아이 엄마가 들려주는) 아이들이 행복한 미국유학</t>
  </si>
  <si>
    <t>홍기자 지음</t>
  </si>
  <si>
    <t>담디</t>
  </si>
  <si>
    <t>JD0000023440</t>
  </si>
  <si>
    <t>아이클라우드, 그 다음의 충격  = Think different</t>
  </si>
  <si>
    <t>공병환 지음</t>
  </si>
  <si>
    <t>넥서스BIZ</t>
  </si>
  <si>
    <t>JD0000023441</t>
  </si>
  <si>
    <t>아침 1분 사용법</t>
  </si>
  <si>
    <t>고토 하야토 지음 ;길주희 옮김</t>
  </si>
  <si>
    <t>좋은책만들기</t>
  </si>
  <si>
    <t>JD0000023442</t>
  </si>
  <si>
    <t>유네스코 세계문화유산과 관광</t>
  </si>
  <si>
    <t>임근욱 ;이혁진 ;윤병국 ;이승곤 저</t>
  </si>
  <si>
    <t>새로미</t>
  </si>
  <si>
    <t>JD0000023443</t>
  </si>
  <si>
    <t>농수산물 시장론  = Agricultural and fisheries markets</t>
  </si>
  <si>
    <t>강연실 지음</t>
  </si>
  <si>
    <t>전남대학교출판부</t>
  </si>
  <si>
    <t>JD0000023444</t>
  </si>
  <si>
    <t>어류질병 현장 가이드북  : 어종별 주요질병, 양식장 질병관리, 수산용 백신, 의약품 사용</t>
  </si>
  <si>
    <t>국립수산과학원 저</t>
  </si>
  <si>
    <t>바이오사이언스출판</t>
  </si>
  <si>
    <t>JD0000023445</t>
  </si>
  <si>
    <t>해양과 인간</t>
  </si>
  <si>
    <t>최형태 ;김웅서 엮음</t>
  </si>
  <si>
    <t>한국해양연구소</t>
  </si>
  <si>
    <t>JD0000023446</t>
  </si>
  <si>
    <t>해양과학기술의 현재와 미래</t>
  </si>
  <si>
    <t>김웅서 ;강성현 지음</t>
  </si>
  <si>
    <t>한국해양과학기술원</t>
  </si>
  <si>
    <t>JD0000023447</t>
  </si>
  <si>
    <t>해양생지화학 개론</t>
  </si>
  <si>
    <t>Susan M. Libes 지음 ;송기훈 ;김경렬 ;김기현 ;박미옥 ;안순모 ;양재삼 ;이동섭 ;이병권 공역</t>
  </si>
  <si>
    <t>아진</t>
  </si>
  <si>
    <t>JD0000023448</t>
  </si>
  <si>
    <t>한국 축제와 지역문화 콘텐츠</t>
  </si>
  <si>
    <t>류정아 지음</t>
  </si>
  <si>
    <t>JD0000023449</t>
  </si>
  <si>
    <t>영어로 만드는 메이저리그 인생  = (The) secret to success and happiness through English</t>
  </si>
  <si>
    <t>이인권 지음</t>
  </si>
  <si>
    <t>지식여행</t>
  </si>
  <si>
    <t>JD0000023450</t>
  </si>
  <si>
    <t>영어로 배우는 과학이야기  : 영어로 재미있게 읽는 과학 이야기!  = Questions and answers about science in simple English</t>
  </si>
  <si>
    <t>삼지사 [편]</t>
  </si>
  <si>
    <t>삼지사</t>
  </si>
  <si>
    <t>JD0000023451</t>
  </si>
  <si>
    <t>영어천재가 된 홍대리. 2</t>
  </si>
  <si>
    <t>박정원 지음</t>
  </si>
  <si>
    <t>다산라이프</t>
  </si>
  <si>
    <t>JD0000023452</t>
  </si>
  <si>
    <t>JD0000023453</t>
  </si>
  <si>
    <t>영어첫걸음 대박표현 400</t>
  </si>
  <si>
    <t>김은정 지음</t>
  </si>
  <si>
    <t>로그인</t>
  </si>
  <si>
    <t>JD0000023454</t>
  </si>
  <si>
    <t>(What's up?) 영어회화로 미국 간다!  : New Brian's easy English</t>
  </si>
  <si>
    <t>이용수 지음</t>
  </si>
  <si>
    <t>생각나눔</t>
  </si>
  <si>
    <t>JD0000023455</t>
  </si>
  <si>
    <t>(한 귀에 쏙 들어오는) 일본어 회화</t>
  </si>
  <si>
    <t>서정각 지음</t>
  </si>
  <si>
    <t>사사연</t>
  </si>
  <si>
    <t>JD0000023456</t>
  </si>
  <si>
    <t>우리말, 가슴을 울리다</t>
  </si>
  <si>
    <t>조현용 지음</t>
  </si>
  <si>
    <t>하우</t>
  </si>
  <si>
    <t>JD0000023457</t>
  </si>
  <si>
    <t>월스트리트 비즈니스 영어회화  = Business English-wall street</t>
  </si>
  <si>
    <t>이정희 지음</t>
  </si>
  <si>
    <t>이다새</t>
  </si>
  <si>
    <t>JD0000023458</t>
  </si>
  <si>
    <t>(윤선생영어교실과 함께하는) 민하의 영어킹 교육법</t>
  </si>
  <si>
    <t>윤선생영어교실 지음</t>
  </si>
  <si>
    <t>북마크</t>
  </si>
  <si>
    <t>JD0000023459</t>
  </si>
  <si>
    <t>이화 한국어  : 日本語版. 1-1</t>
  </si>
  <si>
    <t>이화여자대학교 언어교육원 편</t>
  </si>
  <si>
    <t>이화여자대학교출판부 :Epress</t>
  </si>
  <si>
    <t>JD0000023460</t>
  </si>
  <si>
    <t>JD0000023461</t>
  </si>
  <si>
    <t>JD0000023462</t>
  </si>
  <si>
    <t>이화 한국어  : 日本語版. 1-2</t>
  </si>
  <si>
    <t>JD0000023463</t>
  </si>
  <si>
    <t>JD0000023464</t>
  </si>
  <si>
    <t>JD0000023465</t>
  </si>
  <si>
    <t>이화 한국어  : 日本語版. 2-1</t>
  </si>
  <si>
    <t>JD0000023466</t>
  </si>
  <si>
    <t>JD0000023467</t>
  </si>
  <si>
    <t>JD0000023468</t>
  </si>
  <si>
    <t>이화 한국어  : 日本語版. 2-2</t>
  </si>
  <si>
    <t>JD0000023469</t>
  </si>
  <si>
    <t>JD0000023470</t>
  </si>
  <si>
    <t>JD0000023471</t>
  </si>
  <si>
    <t>이화 한국어. 3-1</t>
  </si>
  <si>
    <t>JD0000023472</t>
  </si>
  <si>
    <t>이화 한국어. 3-2</t>
  </si>
  <si>
    <t>JD0000023473</t>
  </si>
  <si>
    <t>일본어 교육론</t>
  </si>
  <si>
    <t>천호재 著</t>
  </si>
  <si>
    <t>JD0000023474</t>
  </si>
  <si>
    <t>(일본어 뱅크) 사진과 함께하는 일본문화</t>
  </si>
  <si>
    <t>최윤정 ;정희순 ;최성옥 지음</t>
  </si>
  <si>
    <t>동양북스</t>
  </si>
  <si>
    <t>JD0000023475</t>
  </si>
  <si>
    <t>(일본어뱅크) 일본어 작문 초급</t>
  </si>
  <si>
    <t>혼다 미호 저</t>
  </si>
  <si>
    <t>동양books</t>
  </si>
  <si>
    <t>JD0000023476</t>
  </si>
  <si>
    <t>일본어학의 이해</t>
  </si>
  <si>
    <t>정현혁 著</t>
  </si>
  <si>
    <t>인문사</t>
  </si>
  <si>
    <t>JD0000023477</t>
  </si>
  <si>
    <t>(일어나서 잠들기까지) 엄마랑 생활영어</t>
  </si>
  <si>
    <t>이수현 지음</t>
  </si>
  <si>
    <t>JD0000023478</t>
  </si>
  <si>
    <t>정통 영어작문  = SM essay writing</t>
  </si>
  <si>
    <t>밴쿠버 SM education 편저</t>
  </si>
  <si>
    <t>서울영어사</t>
  </si>
  <si>
    <t>JD0000023479</t>
  </si>
  <si>
    <t>조선말 고전 수사학</t>
  </si>
  <si>
    <t>김기종 지음</t>
  </si>
  <si>
    <t>한국문화사</t>
  </si>
  <si>
    <t>JD0000023480</t>
  </si>
  <si>
    <t>중국어 국제회의 통역노트</t>
  </si>
  <si>
    <t>손지봉 지음</t>
  </si>
  <si>
    <t>이화여자대학교출판부</t>
  </si>
  <si>
    <t>JD0000023481</t>
  </si>
  <si>
    <t>중국어 음운론과 응용</t>
  </si>
  <si>
    <t>엄익상 지음</t>
  </si>
  <si>
    <t>JD0000023482</t>
  </si>
  <si>
    <t>즉석 병원영어회화  = Hospital English</t>
  </si>
  <si>
    <t>Cathy Lee 지음</t>
  </si>
  <si>
    <t>반석출판사</t>
  </si>
  <si>
    <t>JD0000023483</t>
  </si>
  <si>
    <t>캐나다 어학연수 백만백가지  : 백만원 줄이는 백가지 방법</t>
  </si>
  <si>
    <t>김낙영 ;이선영 지음</t>
  </si>
  <si>
    <t>JD0000023484</t>
  </si>
  <si>
    <t>토종영어교육 성공합시다!!</t>
  </si>
  <si>
    <t>재키 신 저</t>
  </si>
  <si>
    <t>종합출판</t>
  </si>
  <si>
    <t>JD0000023485</t>
  </si>
  <si>
    <t>프랑스어는 뻔한 패턴의 반복이다  : pattern 100</t>
  </si>
  <si>
    <t>장희정 지음</t>
  </si>
  <si>
    <t>JD0000023486</t>
  </si>
  <si>
    <t>韓國古代國名地名의 語源 硏究</t>
  </si>
  <si>
    <t>李炳銑 著</t>
  </si>
  <si>
    <t>이회</t>
  </si>
  <si>
    <t>JD0000023487</t>
  </si>
  <si>
    <t>한국어 어원사전</t>
  </si>
  <si>
    <t>김무림 지음</t>
  </si>
  <si>
    <t>지식과교양</t>
  </si>
  <si>
    <t>JD0000023488</t>
  </si>
  <si>
    <t>한국어 교실 수업의 원리와 실제  : 한국어 교사를 위한 실제 현장 중심의 교실 수업 안내서</t>
  </si>
  <si>
    <t>조형일 지음</t>
  </si>
  <si>
    <t>소통</t>
  </si>
  <si>
    <t>JD0000023489</t>
  </si>
  <si>
    <t>한국어교육과 양태표현</t>
  </si>
  <si>
    <t>안주호 지음</t>
  </si>
  <si>
    <t>JD0000023490</t>
  </si>
  <si>
    <t>한국어 동사 의미망 구축 방법론</t>
  </si>
  <si>
    <t>박종호 지음</t>
  </si>
  <si>
    <t>청운</t>
  </si>
  <si>
    <t>JD0000023491</t>
  </si>
  <si>
    <t>(한 권으로 끝내는 초중고) 10주완성 영어회화  = English conversation in ten weeks</t>
  </si>
  <si>
    <t>파우스트 칼리지</t>
  </si>
  <si>
    <t>JD0000023492</t>
  </si>
  <si>
    <t>(한 권으로 끝내는 초중고) 기초 도해 영작문  = (The)basic visual English writing</t>
  </si>
  <si>
    <t>정란능 지음</t>
  </si>
  <si>
    <t>파우스트칼리지</t>
  </si>
  <si>
    <t>JD0000023493</t>
  </si>
  <si>
    <t>한글민주주의</t>
  </si>
  <si>
    <t>최경봉 지음</t>
  </si>
  <si>
    <t>책과함께</t>
  </si>
  <si>
    <t>JD0000023494</t>
  </si>
  <si>
    <t>한글 표기법과 글쓰기에 관한 연구</t>
  </si>
  <si>
    <t>엄태수 지음</t>
  </si>
  <si>
    <t>JD0000023495</t>
  </si>
  <si>
    <t>한문과 문법론</t>
  </si>
  <si>
    <t>이군선 ;김성중 편</t>
  </si>
  <si>
    <t>보고사</t>
  </si>
  <si>
    <t>JD0000023496</t>
  </si>
  <si>
    <t>한문과 문학교육론</t>
  </si>
  <si>
    <t>임완혁 ;김연수 편</t>
  </si>
  <si>
    <t>JD0000023497</t>
  </si>
  <si>
    <t>한문교육사</t>
  </si>
  <si>
    <t>신영주 ;남궁원 편</t>
  </si>
  <si>
    <t>JD0000023498</t>
  </si>
  <si>
    <t>한자 대역어의 통시적 연구</t>
  </si>
  <si>
    <t>박영섭 지음</t>
  </si>
  <si>
    <t>박이정</t>
  </si>
  <si>
    <t>JD0000023499</t>
  </si>
  <si>
    <t>한자 어휘 교육론</t>
  </si>
  <si>
    <t>이동재 ;허철 편</t>
  </si>
  <si>
    <t>JD0000023500</t>
  </si>
  <si>
    <t>(한국어 교육을 위한) 한중언어 대조연구</t>
  </si>
  <si>
    <t>김성란 지음</t>
  </si>
  <si>
    <t>역락</t>
  </si>
  <si>
    <t>JD0000023501</t>
  </si>
  <si>
    <t>(영어초보가 가장 먼저 알아야 할) 생활영어 246</t>
  </si>
  <si>
    <t>네오 영어팀 편저</t>
  </si>
  <si>
    <t>네오북스</t>
  </si>
  <si>
    <t>JD0000023502</t>
  </si>
  <si>
    <t>(함께 배워요) 한국어  = Let's learn Korean. 1</t>
  </si>
  <si>
    <t>동국대학교 한국어교육센터 편</t>
  </si>
  <si>
    <t>동국대학교 출판부</t>
  </si>
  <si>
    <t>JD0000023503</t>
  </si>
  <si>
    <t>(함께 배워요) 한국어  = Let's learn Korean. 2</t>
  </si>
  <si>
    <t>JD0000023504</t>
  </si>
  <si>
    <t>(함께 배워요) 한국어  = Let's learn Korean. 3</t>
  </si>
  <si>
    <t>JD0000023505</t>
  </si>
  <si>
    <t>(함께 배워요) 한국어  = Let's learn Korean. 4</t>
  </si>
  <si>
    <t>JD0000023506</t>
  </si>
  <si>
    <t>(함께 배워요) 한국어  = Let's learn Korean. 5</t>
  </si>
  <si>
    <t>JD0000023507</t>
  </si>
  <si>
    <t>(함께 배워요) 한국어  = Let's learn Korean. 6</t>
  </si>
  <si>
    <t>JD0000023508</t>
  </si>
  <si>
    <t>현대중국어어법  = Modern Chinese grammar</t>
  </si>
  <si>
    <t>오경희 저</t>
  </si>
  <si>
    <t>學古房</t>
  </si>
  <si>
    <t>JD0000023509</t>
  </si>
  <si>
    <t>현대한어문자학</t>
  </si>
  <si>
    <t>殷寄明 ;汪如東_x001C_ 지음 ;박흥수 외 옮김</t>
  </si>
  <si>
    <t>한국외국어대학교 출판부</t>
  </si>
  <si>
    <t>JD0000023510</t>
  </si>
  <si>
    <t>(뻔뻔 일러스트) 중국이야기  : 중국 5,000년 역사와 문화 가이드 북</t>
  </si>
  <si>
    <t>왕치청 지음 ;박종연 옮김</t>
  </si>
  <si>
    <t>북&amp;월드</t>
  </si>
  <si>
    <t>JD0000023511</t>
  </si>
  <si>
    <t>(새로 만든) 먼나라 이웃나라. 1 :, 네덜란드  = Netherland</t>
  </si>
  <si>
    <t>이원복 글·그림</t>
  </si>
  <si>
    <t>김영사</t>
  </si>
  <si>
    <t>JD0000023512</t>
  </si>
  <si>
    <t>(새로 만든) 먼나라 이웃나라. 2 :, 프랑스  = France</t>
  </si>
  <si>
    <t>이원복 글.그림</t>
  </si>
  <si>
    <t>JD0000023513</t>
  </si>
  <si>
    <t>(새로 만든) 먼나라 이웃나라. 3 :, 도이칠란트  = Germany</t>
  </si>
  <si>
    <t>JD0000023514</t>
  </si>
  <si>
    <t>(새로 만든) 먼나라 이웃나라. 4 :, 영국  = England</t>
  </si>
  <si>
    <t>JD0000023515</t>
  </si>
  <si>
    <t>(새로 만든) 먼나라 이웃나라. 5 :, 스위스  = Switzerland</t>
  </si>
  <si>
    <t>JD0000023516</t>
  </si>
  <si>
    <t>(새로 만든) 먼나라 이웃나라. 6 :, 이탈리아  = Italy</t>
  </si>
  <si>
    <t>JD0000023517</t>
  </si>
  <si>
    <t>(새로 만든) 먼나라 이웃나라. 7 :, 일본 1 일본인편  = Japan</t>
  </si>
  <si>
    <t>JD0000023518</t>
  </si>
  <si>
    <t>(새로 만든) 먼나라 이웃나라. 8 :, 일본 2 역사편  = Japan</t>
  </si>
  <si>
    <t>JD0000023519</t>
  </si>
  <si>
    <t>(새로 만든) 먼나라 이웃나라. 9 :, 우리나라  = Korea</t>
  </si>
  <si>
    <t>JD0000023520</t>
  </si>
  <si>
    <t>(새로 만든) 먼나라 이웃나라. 10 :, 미국 1 미국인 편  = United States of America</t>
  </si>
  <si>
    <t>JD0000023521</t>
  </si>
  <si>
    <t>(새로 만든) 먼나라 이웃나라. 11 :, 미국 2 역사 편  = United States of America</t>
  </si>
  <si>
    <t>JD0000023522</t>
  </si>
  <si>
    <t>(새로 만든) 먼나라 이웃나라. 12 :, 미국 3 대통령 편  = United States of America</t>
  </si>
  <si>
    <t>JD0000023523</t>
  </si>
  <si>
    <t>(새로 만든) 먼나라 이웃나라. 13 :, 중국 1 근대 편  = China</t>
  </si>
  <si>
    <t>JD0000023524</t>
  </si>
  <si>
    <t>(새로 만든) 먼나라 이웃나라. 14 :, 중국 1 현대 편  = China</t>
  </si>
  <si>
    <t>JD0000023525</t>
  </si>
  <si>
    <t>(교과서에 나오지 않는) 에피소드 한국사  : 근현대편</t>
  </si>
  <si>
    <t>표학렬 지음</t>
  </si>
  <si>
    <t>앨피</t>
  </si>
  <si>
    <t>JD0000023526</t>
  </si>
  <si>
    <t>(21세기에 다시 보는) 해방후사</t>
  </si>
  <si>
    <t>이정식 지음 ;허동현 엮음</t>
  </si>
  <si>
    <t>경희대학교 출판문화원</t>
  </si>
  <si>
    <t>JD0000023527</t>
  </si>
  <si>
    <t>김영택 지음</t>
  </si>
  <si>
    <t>역사공간</t>
  </si>
  <si>
    <t>JD0000023528</t>
  </si>
  <si>
    <t>(No plan! No problem!) ENJOY 전남·남해안</t>
  </si>
  <si>
    <t>정양희 지음</t>
  </si>
  <si>
    <t>넥서스BOOKS</t>
  </si>
  <si>
    <t>JD0000023529</t>
  </si>
  <si>
    <t>고구려 유민의 나라 제와 당, 그리고 신라·발해·일본 교류사</t>
  </si>
  <si>
    <t>지배선 지음</t>
  </si>
  <si>
    <t>혜안</t>
  </si>
  <si>
    <t>JD0000023530</t>
  </si>
  <si>
    <t>고요한 아침의 땅 삼척  : 차장섭의 역사문화기행</t>
  </si>
  <si>
    <t>차장섭 지음</t>
  </si>
  <si>
    <t>JD0000023531</t>
  </si>
  <si>
    <t>(공부도 하는) 주말 가족여행</t>
  </si>
  <si>
    <t>류영현 글·사진</t>
  </si>
  <si>
    <t>Human &amp; Books</t>
  </si>
  <si>
    <t>JD0000023532</t>
  </si>
  <si>
    <t>光州 雲巖  : 황계포란형 명당</t>
  </si>
  <si>
    <t>김영헌 지음</t>
  </si>
  <si>
    <t>향지사</t>
  </si>
  <si>
    <t>JD0000023533</t>
  </si>
  <si>
    <t>JD0000023534</t>
  </si>
  <si>
    <t>그러니까 인도네시아지!  : 착한 땅 착한 사람들 이야기</t>
  </si>
  <si>
    <t>김성월 지음</t>
  </si>
  <si>
    <t>이담 Books</t>
  </si>
  <si>
    <t>JD0000023535</t>
  </si>
  <si>
    <t>근대를 산책하다  : 문화유산으로 보는 한국 근현대사 150년</t>
  </si>
  <si>
    <t>김종록 지음</t>
  </si>
  <si>
    <t>다산초당</t>
  </si>
  <si>
    <t>JD0000023536</t>
  </si>
  <si>
    <t>깊은 여행  : 흔들의자에 앉아 세상을 만나는 즐거움</t>
  </si>
  <si>
    <t>토니 히스 지음 ;김양희 옮김</t>
  </si>
  <si>
    <t>JD0000023537</t>
  </si>
  <si>
    <t>나도 문화해설사가 될 수 있다 :, 궁궐편</t>
  </si>
  <si>
    <t>최동군 지음</t>
  </si>
  <si>
    <t>JD0000023538</t>
  </si>
  <si>
    <t>나도 문화해설사가 될 수 있다 :, 사찰편</t>
  </si>
  <si>
    <t>JD0000023539</t>
  </si>
  <si>
    <t>(남들은 죽었다 깨어나도 모르는) 나만의 남도여행  : 서남해안권. 2 :, 영암 강진 해남 진도 완도</t>
  </si>
  <si>
    <t>배인철 지음</t>
  </si>
  <si>
    <t>한얼미디어</t>
  </si>
  <si>
    <t>JD0000023540</t>
  </si>
  <si>
    <t>낭만이 번지는 곳 베네치아</t>
  </si>
  <si>
    <t>백승선 지음</t>
  </si>
  <si>
    <t>쉼</t>
  </si>
  <si>
    <t>JD0000023541</t>
  </si>
  <si>
    <t>내 생애 한 번은 자전거 전국일주  = Bike tour once in my life</t>
  </si>
  <si>
    <t>김효찬 글·사진</t>
  </si>
  <si>
    <t>프라하</t>
  </si>
  <si>
    <t>JD0000023542</t>
  </si>
  <si>
    <t>(문명 기행) 내 안의 이집트</t>
  </si>
  <si>
    <t>강인숙 지음</t>
  </si>
  <si>
    <t>마음의숲</t>
  </si>
  <si>
    <t>JD0000023543</t>
  </si>
  <si>
    <t>더 서울  : 2000년대 최고의 소설과 함께 떠나는 서울 이야기 사전</t>
  </si>
  <si>
    <t>김민채 지음</t>
  </si>
  <si>
    <t>북노마드</t>
  </si>
  <si>
    <t>JD0000023544</t>
  </si>
  <si>
    <t>동화책 속 프랑스 여행전  = Voyage to the French illustration  : 프랑스 대표 그림책 작가전</t>
  </si>
  <si>
    <t>아트버스 편집부 지음</t>
  </si>
  <si>
    <t>ARTBUS</t>
  </si>
  <si>
    <t>JD0000023545</t>
  </si>
  <si>
    <t>(2013년 최신판)디스 이즈 하와이  = This is hawall</t>
  </si>
  <si>
    <t>양인선 지음 ;유태현 사진</t>
  </si>
  <si>
    <t>테라</t>
  </si>
  <si>
    <t>JD0000023546</t>
  </si>
  <si>
    <t>런던에 미치다  = Mad For London</t>
  </si>
  <si>
    <t>최은숙 지음</t>
  </si>
  <si>
    <t>조선앤북</t>
  </si>
  <si>
    <t>JD0000023547</t>
  </si>
  <si>
    <t>문화산업을 알면, 中國이 보인다  : 중국 대중문화 그 치명적 유혹</t>
  </si>
  <si>
    <t>박신희 지음</t>
  </si>
  <si>
    <t>차이나하우스</t>
  </si>
  <si>
    <t>JD0000023548</t>
  </si>
  <si>
    <t>친일·숭미에 살어리랏다  : 배반의 역사 수구의 로망</t>
  </si>
  <si>
    <t>정운현 지음</t>
  </si>
  <si>
    <t>JD0000023549</t>
  </si>
  <si>
    <t>백인의 눈으로 아프리카를 말하지 말라  : 한국인의 눈으로 바라본, 그래서 더 진실한 아프리카의 역사 이야기</t>
  </si>
  <si>
    <t>김명주 지음</t>
  </si>
  <si>
    <t>미래를소유한사람들</t>
  </si>
  <si>
    <t>JD0000023550</t>
  </si>
  <si>
    <t>부산에 취하다  = Mad For Busan  : 쌤의 앵글에 잡힌 부산의 진짜 매력 99</t>
  </si>
  <si>
    <t>조현주 지음</t>
  </si>
  <si>
    <t>JD0000023551</t>
  </si>
  <si>
    <t>부거 워싱턴</t>
  </si>
  <si>
    <t>부커 T. 워싱턴 지음 ;윤해윤 옮김</t>
  </si>
  <si>
    <t>나무처럼</t>
  </si>
  <si>
    <t>JD0000023552</t>
  </si>
  <si>
    <t>북극 여행자  : 북위 66.5도에서 시작된 십 년간의 여행</t>
  </si>
  <si>
    <t>최명애 글·사진</t>
  </si>
  <si>
    <t>작가정신</t>
  </si>
  <si>
    <t>JD0000023553</t>
  </si>
  <si>
    <t>(북한 향토사학자가 쓴)개성 이야기</t>
  </si>
  <si>
    <t>송경록 지음</t>
  </si>
  <si>
    <t>JD0000023554</t>
  </si>
  <si>
    <t>사람의 목소리는 빛보다 멀리 간다  : 위화, 열 개의 단어로 중국을 말하다</t>
  </si>
  <si>
    <t>위화 지음 ;김태성 옮김</t>
  </si>
  <si>
    <t>JD0000023555</t>
  </si>
  <si>
    <t>삼국지의 진실과 허구  : 삼국 시대 인물들의 진짜 인생 엿보기</t>
  </si>
  <si>
    <t>구청푸 ;성쉰창 지음 ;하진이 옮김</t>
  </si>
  <si>
    <t>시그마북스</t>
  </si>
  <si>
    <t>JD0000023556</t>
  </si>
  <si>
    <t>(새로 쓰는) 동학기행  : 강원도 충청도 서울·경기도. 1</t>
  </si>
  <si>
    <t>채길순 지음</t>
  </si>
  <si>
    <t>모시는사람들</t>
  </si>
  <si>
    <t>JD0000023557</t>
  </si>
  <si>
    <t>서울 문화 순례</t>
  </si>
  <si>
    <t>최준식 지음</t>
  </si>
  <si>
    <t>JD0000023558</t>
  </si>
  <si>
    <t>섬문화 답사기  : 孤島의 일상과 역사에 관한 서사 :, 신안편</t>
  </si>
  <si>
    <t>김준 지음</t>
  </si>
  <si>
    <t>보누스</t>
  </si>
  <si>
    <t>JD0000023559</t>
  </si>
  <si>
    <t>세계 속 한국 근대사. 1</t>
  </si>
  <si>
    <t>이윤섭 지음</t>
  </si>
  <si>
    <t>필맥</t>
  </si>
  <si>
    <t>JD0000023560</t>
  </si>
  <si>
    <t>세계 속 한국 근대사. 2</t>
  </si>
  <si>
    <t>JD0000023561</t>
  </si>
  <si>
    <t>세계지리를 보다  : 이미지와 스토리텔링의 지리 여행. 1 :, 세계자연. 인문환경, 아시아</t>
  </si>
  <si>
    <t>박찬영 ;엄정훈 지음</t>
  </si>
  <si>
    <t>리베르스쿨</t>
  </si>
  <si>
    <t>JD0000023562</t>
  </si>
  <si>
    <t>세계지리를 보다  : 이미지와 스토리텔링의 지리 여행. 2 :, 유럽, 서남아시아</t>
  </si>
  <si>
    <t>JD0000023563</t>
  </si>
  <si>
    <t>세계지리를 보다  : 이미지와 스토리텔링의 지리 여행. 3 :, 아메리카,아프리카,오세아니아</t>
  </si>
  <si>
    <t>JD0000023564</t>
  </si>
  <si>
    <t>세상 밖으로 배낭을 꾸려라  : 아르헨티나에서 콜롬비아까지</t>
  </si>
  <si>
    <t>칸델라리아 ;허먼 잽 지음 ;강필운 옮김</t>
  </si>
  <si>
    <t>작은씨앗</t>
  </si>
  <si>
    <t>JD0000023565</t>
  </si>
  <si>
    <t>시대정신과 지식인  : 원효에서 노무현까지</t>
  </si>
  <si>
    <t>김호기 지음</t>
  </si>
  <si>
    <t>돌베개</t>
  </si>
  <si>
    <t>JD0000023566</t>
  </si>
  <si>
    <t>식신로드  : 대한민국 방방곡곡 Y-STAR &lt;식신로드&gt; 최고의 맛집!</t>
  </si>
  <si>
    <t>Y-STAR &lt;식신로드&gt; 제작팀</t>
  </si>
  <si>
    <t>프롬북스</t>
  </si>
  <si>
    <t>JD0000023567</t>
  </si>
  <si>
    <t>아빠와 아들이 대한민국을 걷다</t>
  </si>
  <si>
    <t>박종관 지음</t>
  </si>
  <si>
    <t>지와수</t>
  </si>
  <si>
    <t>JD0000023568</t>
  </si>
  <si>
    <t>아주 짧은 세계사</t>
  </si>
  <si>
    <t>제프리 블레이니 지음 ;박중서 옮김</t>
  </si>
  <si>
    <t>JD0000023569</t>
  </si>
  <si>
    <t>알래스카 100배 즐기기  = Alaska  : 앵커리지·페어뱅크스·주노&amp;인사이드 패시지</t>
  </si>
  <si>
    <t>알에이치코리아 [편] ;이가현 번역</t>
  </si>
  <si>
    <t>알에이치코리아</t>
  </si>
  <si>
    <t>JD0000023570</t>
  </si>
  <si>
    <t>(연대로 보는) 비교 세계사</t>
  </si>
  <si>
    <t>허성남 지음</t>
  </si>
  <si>
    <t>U-paper</t>
  </si>
  <si>
    <t>JD0000023571</t>
  </si>
  <si>
    <t>영산강문화권  : 들녘과 바닷길로 어우러진 2천년</t>
  </si>
  <si>
    <t>국민대학교 국사학과 글</t>
  </si>
  <si>
    <t>JD0000023572</t>
  </si>
  <si>
    <t>오케이, 가족 캠핑  : 가족과 떠나는 캠퍼들을 위한 꼼꼼 가이드</t>
  </si>
  <si>
    <t>안영숙 ;이수진 지음</t>
  </si>
  <si>
    <t>위즈덤스타일 :위즈덤하우스</t>
  </si>
  <si>
    <t>JD0000023573</t>
  </si>
  <si>
    <t>제주도 살고싶다  : 평범한 도시인 두나의 리얼 제주도 정착기</t>
  </si>
  <si>
    <t>이두나 지음</t>
  </si>
  <si>
    <t>JD0000023574</t>
  </si>
  <si>
    <t>(곽혜진의)조각보 이야기  : 오래된 새로움</t>
  </si>
  <si>
    <t>곽혜진 지음</t>
  </si>
  <si>
    <t>케이디자인</t>
  </si>
  <si>
    <t>JD0000023575</t>
  </si>
  <si>
    <t>대한민국합기도 호신술  = Daehanminguk Hapkido self-defense martial art</t>
  </si>
  <si>
    <t>최방호 지음</t>
  </si>
  <si>
    <t>대경북스</t>
  </si>
  <si>
    <t>JD0000023576</t>
  </si>
  <si>
    <t>(상식으로 꼭 알아야 할)최고의 명품, 최고의 디자이너</t>
  </si>
  <si>
    <t>명수진 지음</t>
  </si>
  <si>
    <t>삼양미디어</t>
  </si>
  <si>
    <t>JD0000023577</t>
  </si>
  <si>
    <t>(안단테의)야생화 잘 찍는 법</t>
  </si>
  <si>
    <t>이두한 지음</t>
  </si>
  <si>
    <t>이비락</t>
  </si>
  <si>
    <t>JD0000023578</t>
  </si>
  <si>
    <t>(에센스) 스포츠 사회학  = Sport sociology  : 현대사회의 키워드, 스포츠 읽기</t>
  </si>
  <si>
    <t>강효민 ;한광령 지음</t>
  </si>
  <si>
    <t>JD0000023579</t>
  </si>
  <si>
    <t>(이근성의) 일렉기타 교실. 1</t>
  </si>
  <si>
    <t>이근성 지음</t>
  </si>
  <si>
    <t>삼호ETM</t>
  </si>
  <si>
    <t>JD0000023580</t>
  </si>
  <si>
    <t>(이근성의) 일렉기타 교실. 2</t>
  </si>
  <si>
    <t>JD0000023581</t>
  </si>
  <si>
    <t>큐레이터 송한나의 뮤지엄 스토리  = Curator Hanna's museum story  : 전쟁과여성인권박물관에서 황학동 도깨비 시장까지</t>
  </si>
  <si>
    <t>송한나 지음</t>
  </si>
  <si>
    <t>JD0000023582</t>
  </si>
  <si>
    <t>이시구로 후미카 지음 ;허문선 옮김</t>
  </si>
  <si>
    <t>루비박스</t>
  </si>
  <si>
    <t>JD0000023583</t>
  </si>
  <si>
    <t>할 포스터 ;로잘린드 크라우스 ;이브 - 알랭 부아 ;벤자민 H. D. 부클로 ;데이비드 조슬릿 ;배수희 ;신정훈 ;오유경 ;김홍기 ;오윤정 ;조현정 ;김일기 ;유정아</t>
  </si>
  <si>
    <t>; 세미콜론</t>
  </si>
  <si>
    <t>JD0000023584</t>
  </si>
  <si>
    <t>이세정 지음</t>
  </si>
  <si>
    <t>주택문화사</t>
  </si>
  <si>
    <t>JD0000023585</t>
  </si>
  <si>
    <t>이재형 글 사진</t>
  </si>
  <si>
    <t>미래를 소유한 사람들</t>
  </si>
  <si>
    <t>JD0000023586</t>
  </si>
  <si>
    <t>음악신동 노빈손 모차르트의 수제자가 되다</t>
  </si>
  <si>
    <t>남동욱 지음 ;이우일 일러스트</t>
  </si>
  <si>
    <t>뜨인돌출판</t>
  </si>
  <si>
    <t>JD0000023587</t>
  </si>
  <si>
    <t>(The) Champion  : 유럽축구 가이드북</t>
  </si>
  <si>
    <t>맥스미디어 [편]</t>
  </si>
  <si>
    <t>맥스미디어</t>
  </si>
  <si>
    <t>JD0000023588</t>
  </si>
  <si>
    <t>엄경호 글·그림</t>
  </si>
  <si>
    <t>JD0000023589</t>
  </si>
  <si>
    <t>AGI 디자이너 디자인 삶의 여정</t>
  </si>
  <si>
    <t>벤 보스 ;엘리 보스 엮음 ;이주만 옮김</t>
  </si>
  <si>
    <t>안그라픽스</t>
  </si>
  <si>
    <t>JD0000023590</t>
  </si>
  <si>
    <t>DSLR로 비디오 만들기</t>
  </si>
  <si>
    <t>리처드 해링턴 지음 ;김문호 옮김</t>
  </si>
  <si>
    <t>비즈앤비즈</t>
  </si>
  <si>
    <t>JD0000023591</t>
  </si>
  <si>
    <t>Junior swinning</t>
  </si>
  <si>
    <t>유정순 저</t>
  </si>
  <si>
    <t>JD0000023592</t>
  </si>
  <si>
    <t>(SAMSUNG NX) 스마트 카메라로 찍는 사진의 마법  : 이제는 미러리스와 더불어 SNS, Wi-Fi, 스마트폰의 공존이 시작된다</t>
  </si>
  <si>
    <t>변현우 지음</t>
  </si>
  <si>
    <t>이지스퍼블리싱</t>
  </si>
  <si>
    <t>JD0000023593</t>
  </si>
  <si>
    <t>NEX 퍼펙트 가이드 북  = SONY 넥스로 찍을 수 있는 사진의 모든 것</t>
  </si>
  <si>
    <t>박태양 지음</t>
  </si>
  <si>
    <t>정보문화사</t>
  </si>
  <si>
    <t>JD0000023594</t>
  </si>
  <si>
    <t>골프가 예술이네!</t>
  </si>
  <si>
    <t>김효권 글·그림</t>
  </si>
  <si>
    <t>지앤오미디어</t>
  </si>
  <si>
    <t>JD0000023595</t>
  </si>
  <si>
    <t>골프의 역사  : 유서 깊은 왕국의 역사와 함께 엮어나가는 오랜 왕가의 게임</t>
  </si>
  <si>
    <t>로버트 브라우닝 지음 ;박종업 옮김</t>
  </si>
  <si>
    <t>스윌컨</t>
  </si>
  <si>
    <t>JD0000023596</t>
  </si>
  <si>
    <t>공간에 반하다  = Busan Hip Place</t>
  </si>
  <si>
    <t>이승헌 지음 ;이인미 사진</t>
  </si>
  <si>
    <t>미세움</t>
  </si>
  <si>
    <t>JD0000023597</t>
  </si>
  <si>
    <t>공연 행사 제작 매뉴얼  : 탁현민 프로덕션</t>
  </si>
  <si>
    <t>탁현민 ;이슬 ;장이윤 ;최희성 공저</t>
  </si>
  <si>
    <t>MSD미디어</t>
  </si>
  <si>
    <t>JD0000023598</t>
  </si>
  <si>
    <t>(귀가 트이는) 클래식  : 클래식 감상 가이드</t>
  </si>
  <si>
    <t>임현경 지음</t>
  </si>
  <si>
    <t>예솔</t>
  </si>
  <si>
    <t>JD0000023599</t>
  </si>
  <si>
    <t>(그림멘토 버트 도드슨의) 드로잉 수업</t>
  </si>
  <si>
    <t>버트 도드슨 지음 ;안미정 옮김</t>
  </si>
  <si>
    <t>미디어샘</t>
  </si>
  <si>
    <t>JD0000023600</t>
  </si>
  <si>
    <t>(김형진의) 미술법 이야기</t>
  </si>
  <si>
    <t>김형진 지음</t>
  </si>
  <si>
    <t>메이문화</t>
  </si>
  <si>
    <t>JD0000023601</t>
  </si>
  <si>
    <t>꿈꾸는 카메라  : 세상을 향한 아름다운 소통  = Embracing the world</t>
  </si>
  <si>
    <t>고현주 지음</t>
  </si>
  <si>
    <t>네잎클로바</t>
  </si>
  <si>
    <t>JD0000023602</t>
  </si>
  <si>
    <t>(나만의 아틀리에) 수채색연필</t>
  </si>
  <si>
    <t>스기하라 미유키 지음 ;김정명 옮김</t>
  </si>
  <si>
    <t>소울</t>
  </si>
  <si>
    <t>JD0000023603</t>
  </si>
  <si>
    <t>우리 아들이 미술로 달라졌어요  : 남자아이를 위한 맞춤형 미술교육 노하우</t>
  </si>
  <si>
    <t>최민준 지음</t>
  </si>
  <si>
    <t>아트북스</t>
  </si>
  <si>
    <t>JD0000023604</t>
  </si>
  <si>
    <t>남도민속음악의 세계  : 서남해에서 영산강까지</t>
  </si>
  <si>
    <t>이윤선 지음</t>
  </si>
  <si>
    <t>JD0000023605</t>
  </si>
  <si>
    <t>내 곁의 키치  : 궤도를 벗어난 사물의 일상</t>
  </si>
  <si>
    <t>오창섭 지음</t>
  </si>
  <si>
    <t>홍시커뮤니케이션</t>
  </si>
  <si>
    <t>JD0000023606</t>
  </si>
  <si>
    <t>내가 생각하는 집</t>
  </si>
  <si>
    <t>권은순 지음</t>
  </si>
  <si>
    <t>JD0000023607</t>
  </si>
  <si>
    <t>내가 제일 아끼는 사진  : 전 세계 최고 인기 커뮤니티, 셔터 시스터스가 공개하는 사진 비법</t>
  </si>
  <si>
    <t>셔터 시스터스 지음 ;윤영삼 ;김성순 옮김</t>
  </si>
  <si>
    <t>이봄</t>
  </si>
  <si>
    <t>JD0000023608</t>
  </si>
  <si>
    <t>(내가 진짜 좋아하는) 핑거 스타일  = Finger style</t>
  </si>
  <si>
    <t>삼호ETM [편]</t>
  </si>
  <si>
    <t>JD0000023609</t>
  </si>
  <si>
    <t>(네이티브 영어로 진행하는) 레크리에이션  = Recreation in english</t>
  </si>
  <si>
    <t>김춘근 저</t>
  </si>
  <si>
    <t>JD0000023610</t>
  </si>
  <si>
    <t>뉴욕 사람들  = New York &amp; people  : 미국학자가 쓴 뉴욕여행</t>
  </si>
  <si>
    <t>이현송 지음</t>
  </si>
  <si>
    <t>JD0000023611</t>
  </si>
  <si>
    <t>다큐멘터리 사진가  = Documentary photographer  : 미나마타·한국·베트남 취재기</t>
  </si>
  <si>
    <t>구와바라 시세이 글·사진 ;김승곤 옮김</t>
  </si>
  <si>
    <t>눈빛출판사</t>
  </si>
  <si>
    <t>JD0000023612</t>
  </si>
  <si>
    <t>달토끼 서울을 그리다  : 각계각층의 그림꾼 21인이 바란본 서울의 모습</t>
  </si>
  <si>
    <t>박재동 외 20인 지음</t>
  </si>
  <si>
    <t>성안당</t>
  </si>
  <si>
    <t>JD0000023613</t>
  </si>
  <si>
    <t>당구의 기술  : 사구의 기초 이론과 연습</t>
  </si>
  <si>
    <t>이정수 지음</t>
  </si>
  <si>
    <t>삶과지식</t>
  </si>
  <si>
    <t>JD0000023614</t>
  </si>
  <si>
    <t>대중 음악 사전</t>
  </si>
  <si>
    <t>로이 셔커 지음 ;장호연 ;이정엽 옮김</t>
  </si>
  <si>
    <t>한나래출판사</t>
  </si>
  <si>
    <t>JD0000023615</t>
  </si>
  <si>
    <t>동남아시아 도자기 연구</t>
  </si>
  <si>
    <t>김인규 지음</t>
  </si>
  <si>
    <t>솔과학</t>
  </si>
  <si>
    <t>JD0000023616</t>
  </si>
  <si>
    <t>동남아의 예술세계</t>
  </si>
  <si>
    <t>피오나 컬로그 저 ;박장식 외 공역</t>
  </si>
  <si>
    <t>JD0000023617</t>
  </si>
  <si>
    <t>디자인 불변의 법칙 125가지</t>
  </si>
  <si>
    <t>윌리엄 리드웰 ;크리티나 홀덴 ;질 버틀러 지음 ;방수원 ;이희수 옮김</t>
  </si>
  <si>
    <t>고려문화사</t>
  </si>
  <si>
    <t>JD0000023618</t>
  </si>
  <si>
    <t>레이아웃 불변의 법칙 100가지  : 그리드를 디자인하라</t>
  </si>
  <si>
    <t>베스 톤드로 지음 ;오윤성 옮김</t>
  </si>
  <si>
    <t>JD0000023619</t>
  </si>
  <si>
    <t>마누라와 산에 간다. 두번째 이야기</t>
  </si>
  <si>
    <t>지재원 ;이외선 공저</t>
  </si>
  <si>
    <t>JD0000023620</t>
  </si>
  <si>
    <t>마누라와 산에 간다. 세번째 이야기</t>
  </si>
  <si>
    <t>JD0000023621</t>
  </si>
  <si>
    <t>섬문화 답사기  : 여수 고흥편</t>
  </si>
  <si>
    <t>서책</t>
  </si>
  <si>
    <t>JD0000023622</t>
  </si>
  <si>
    <t>전통 발효법이 농업에 희망이다  = Fermentation farming  : 성공농업을 향한 바른 농사법</t>
  </si>
  <si>
    <t>김현남 지음</t>
  </si>
  <si>
    <t>좋은땅</t>
  </si>
  <si>
    <t>JD0000023623</t>
  </si>
  <si>
    <t>도시농업</t>
  </si>
  <si>
    <t>전국귀농운동본부 텃밭보급소 엮음</t>
  </si>
  <si>
    <t>JD0000023624</t>
  </si>
  <si>
    <t>(새로운 시각으로 만나는) 우리 공룡 이야기</t>
  </si>
  <si>
    <t>김영화 글.그림</t>
  </si>
  <si>
    <t>이담Books</t>
  </si>
  <si>
    <t>JD0000023625</t>
  </si>
  <si>
    <t>폴 파슨스 지음 ;김명남 옮김</t>
  </si>
  <si>
    <t>JD0000023626</t>
  </si>
  <si>
    <t>자연사  : 지구 생명의 모든 것을 담은 자연사 대백과사전</t>
  </si>
  <si>
    <t>DK『자연사』제작 위원회 지음 ;김동희 ;이상준 ;장현주 ;황연아 옮김</t>
  </si>
  <si>
    <t>사이언스북스</t>
  </si>
  <si>
    <t>JD0000023627</t>
  </si>
  <si>
    <t>RNA 세상에서 온 생명이야기</t>
  </si>
  <si>
    <t>Michael Yarus 지음 ;곽노태 옮김</t>
  </si>
  <si>
    <t>H.Press</t>
  </si>
  <si>
    <t>JD0000023628</t>
  </si>
  <si>
    <t>(가벼운 마음으로 떠나는) 과학 트레킹</t>
  </si>
  <si>
    <t>이성규 지음</t>
  </si>
  <si>
    <t>푸른길</t>
  </si>
  <si>
    <t>JD0000023629</t>
  </si>
  <si>
    <t>가축이 행복해야 인간이 건강하다  : 가축사육, 공장과 농장 사이의 딜레마</t>
  </si>
  <si>
    <t>박상표 지음</t>
  </si>
  <si>
    <t>개마고원</t>
  </si>
  <si>
    <t>JD0000023630</t>
  </si>
  <si>
    <t>기후 붕괴의 현실과 전망 그리고 대책  : 지구의 현실과 인류의 미래를 위한 과학적 예언자들</t>
  </si>
  <si>
    <t>김준우 지음</t>
  </si>
  <si>
    <t>한국기독교연구소</t>
  </si>
  <si>
    <t>JD0000023631</t>
  </si>
  <si>
    <t>과채의 재배방법과 품종별 경영  : 고추·토마토·가지·딸기</t>
  </si>
  <si>
    <t>법문 북스 [편]</t>
  </si>
  <si>
    <t>법문 북스</t>
  </si>
  <si>
    <t>JD0000023632</t>
  </si>
  <si>
    <t>고전역학</t>
  </si>
  <si>
    <t>L. D. Landau ;E. M. Lifshitz 지음 ;권영준 ;김홍빈 옮김</t>
  </si>
  <si>
    <t>敎友社</t>
  </si>
  <si>
    <t>JD0000023633</t>
  </si>
  <si>
    <t>곤충사냥꾼  : 박물학자를 꿈꾸었던 국문학박사의 자연이야기</t>
  </si>
  <si>
    <t>기태완 글 ;기성재 그림</t>
  </si>
  <si>
    <t>JD0000023634</t>
  </si>
  <si>
    <t>동물행동학</t>
  </si>
  <si>
    <t>Lee Alan Dugatkin 지음 ;유정칠 외 역</t>
  </si>
  <si>
    <t>JD0000023635</t>
  </si>
  <si>
    <t>소수매미의 수수께끼  : 13년, 17년에 한 번 나타나는 이상한 매미 이야기</t>
  </si>
  <si>
    <t>요시무라 진 글 ;이시모리 요시히코 그림 ;장미화 옮김</t>
  </si>
  <si>
    <t>JD0000023636</t>
  </si>
  <si>
    <t>비판적 실재론  : 로이 바스카의 과학철학</t>
  </si>
  <si>
    <t>앤드류 콜리어 지음 ;이기홍 ;최대용 옮김</t>
  </si>
  <si>
    <t>후마니타스</t>
  </si>
  <si>
    <t>JD0000023637</t>
  </si>
  <si>
    <t>뼈와 화석  : 골격으로 알아보는 생물의 불가사의  : visual book</t>
  </si>
  <si>
    <t>뉴턴코리아 [편] ;번역: 강금희</t>
  </si>
  <si>
    <t>뉴턴코리아</t>
  </si>
  <si>
    <t>JD0000023638</t>
  </si>
  <si>
    <t>상대성 이론  : 특수 상대성 이론과 일반 상대성 이론</t>
  </si>
  <si>
    <t>알베르트 아인슈타인 지음 ;장헌영 옮김</t>
  </si>
  <si>
    <t>지식을만드는지식</t>
  </si>
  <si>
    <t>JD0000023639</t>
  </si>
  <si>
    <t>상대성의 특수이론과 일반이론</t>
  </si>
  <si>
    <t>알베르트 아인슈타인 지음 ;이주명 옮김</t>
  </si>
  <si>
    <t>JD0000023640</t>
  </si>
  <si>
    <t>내가 만나본 새들의 세상</t>
  </si>
  <si>
    <t>김지호 글/사진</t>
  </si>
  <si>
    <t>컴원 미디어</t>
  </si>
  <si>
    <t>JD0000023641</t>
  </si>
  <si>
    <t>새로 본 과학사</t>
  </si>
  <si>
    <t>천병수 대표저자 ;유종수 ;신현웅 ;민제호 공저</t>
  </si>
  <si>
    <t>유한문화사</t>
  </si>
  <si>
    <t>JD0000023642</t>
  </si>
  <si>
    <t>별은 연금술사?</t>
  </si>
  <si>
    <t>정완상 지음</t>
  </si>
  <si>
    <t>JD0000023643</t>
  </si>
  <si>
    <t>생각의 씨앗  = Idea, Mindmap, Triz, IP R&amp;D  : 창의적 사고의 틀</t>
  </si>
  <si>
    <t>주진용 ;조영한 지음</t>
  </si>
  <si>
    <t>JD0000023644</t>
  </si>
  <si>
    <t>생명과학교육론</t>
  </si>
  <si>
    <t>김영신 ;권용주 ;김용진 ;김희백 ;서혜애 ;손연아 ;정은영 ;정진수 ;차희영 공저</t>
  </si>
  <si>
    <t>자유아카데미</t>
  </si>
  <si>
    <t>JD0000023645</t>
  </si>
  <si>
    <t>(과학공부를 잘하기 위해 먼저 읽어야 할) 생물학의 역사  = (The)history of biology</t>
  </si>
  <si>
    <t>쑨이린 지음 ;송은진 옮김</t>
  </si>
  <si>
    <t>더숲</t>
  </si>
  <si>
    <t>JD0000023646</t>
  </si>
  <si>
    <t>생태관광론</t>
  </si>
  <si>
    <t>Stephen Wearing ;John Neil 지음 ;채예병 ;김현지 옮김</t>
  </si>
  <si>
    <t>한올출판사</t>
  </si>
  <si>
    <t>JD0000023647</t>
  </si>
  <si>
    <t>(생명과학을 위한) 생화학  = Biochemistry for life science</t>
  </si>
  <si>
    <t>김나현 ;도성탁 ;신창호 ;유경혜 ;정무상 ;정지영 ;채기수 ;최명재 지음</t>
  </si>
  <si>
    <t>지구문화사</t>
  </si>
  <si>
    <t>JD0000023648</t>
  </si>
  <si>
    <t>세계 주요국의 기후변화법제</t>
  </si>
  <si>
    <t>박덕영 지음</t>
  </si>
  <si>
    <t>JD0000023649</t>
  </si>
  <si>
    <t>(세밀화로 보는)한국의 야생화</t>
  </si>
  <si>
    <t>윤경은 ;한국식물화가협회 지음</t>
  </si>
  <si>
    <t>JD0000023650</t>
  </si>
  <si>
    <t>세상에서 가장 아름다운 곡선 뱀  = Snake</t>
  </si>
  <si>
    <t>차승훈 지음</t>
  </si>
  <si>
    <t>하우넥스트</t>
  </si>
  <si>
    <t>JD0000023651</t>
  </si>
  <si>
    <t>세포의 모든것  : 인체의 초정밀 메커니즘</t>
  </si>
  <si>
    <t>일본 뉴턴프레스엮음</t>
  </si>
  <si>
    <t>JD0000023652</t>
  </si>
  <si>
    <t>소립자란 무엇인가?  : 쿼크에서 초끈 이론까지</t>
  </si>
  <si>
    <t>뉴턴코리아 편 ;강금희 번역</t>
  </si>
  <si>
    <t>JD0000023653</t>
  </si>
  <si>
    <t>소음진동학</t>
  </si>
  <si>
    <t>김재수 지음</t>
  </si>
  <si>
    <t>세진사</t>
  </si>
  <si>
    <t>JD0000023654</t>
  </si>
  <si>
    <t>수목관리학  : 경관 교목, 관목, 덩굴식물의 종합관리</t>
  </si>
  <si>
    <t>저자: Richard W. Harris ;James R. Clark ;Nelda P. Matheny ;삽화: Vera M. Harris ;옮긴이: 이규화</t>
  </si>
  <si>
    <t>JD0000023655</t>
  </si>
  <si>
    <t>(수학 선생님도 궁금한) 101가지 수학질문사전  : 수학선생님을 공부하게 만든 학생들의 상상초월 질문 퍼레이드</t>
  </si>
  <si>
    <t>전국수학교사모임 대표 이동흔 외 8명 지음 ;심차섭 그림</t>
  </si>
  <si>
    <t>북멘토</t>
  </si>
  <si>
    <t>JD0000023656</t>
  </si>
  <si>
    <t>JD0000023657</t>
  </si>
  <si>
    <t>수학선생님도 몰래 보는 분수 나눗셈</t>
  </si>
  <si>
    <t>이타바시 사토루 저 ;전선영 역</t>
  </si>
  <si>
    <t>아르고나인</t>
  </si>
  <si>
    <t>JD0000023658</t>
  </si>
  <si>
    <t>수학으로 미래를 열어라  : 모든 것은 지식에서 나온다 세상이 잊힘으로 인해 세상은 잊힌다</t>
  </si>
  <si>
    <t>한재영 ;이재순 ;한지연 ;한미연 지음</t>
  </si>
  <si>
    <t>JD0000023659</t>
  </si>
  <si>
    <t>우주론. 1 :, 우주의 시작</t>
  </si>
  <si>
    <t>사토 카츠히코 ;후타마세 토시후미 엮음 ;오충식 옮김</t>
  </si>
  <si>
    <t>지성사</t>
  </si>
  <si>
    <t>JD0000023660</t>
  </si>
  <si>
    <t>우주를 뒤흔든 7가지 과학혁명</t>
  </si>
  <si>
    <t>나단 스필버그 ;이충호 옮김</t>
  </si>
  <si>
    <t>새길아카데미</t>
  </si>
  <si>
    <t>JD0000023661</t>
  </si>
  <si>
    <t>원소를 알면 화학이 보인다  : 118종 원소의 화학 이야기</t>
  </si>
  <si>
    <t>지은이: 윤실</t>
  </si>
  <si>
    <t>전파과학사</t>
  </si>
  <si>
    <t>JD0000023662</t>
  </si>
  <si>
    <t>원자력 발전과 방사능  : 과학적 원리와 위험성, 미래의 대책</t>
  </si>
  <si>
    <t>JD0000023663</t>
  </si>
  <si>
    <t>인간과 우주에 대해 아주 조금밖에 모르는 것들</t>
  </si>
  <si>
    <t>강봉균 ;이정모 ;이현숙 ;정재승 ;최기운 지음</t>
  </si>
  <si>
    <t>낮은산</t>
  </si>
  <si>
    <t>JD0000023664</t>
  </si>
  <si>
    <t>(인류 역사를 뒤바꾼) 바다의 힘</t>
  </si>
  <si>
    <t>Bruce Parker 지음 ;오현택 ;이웅열 ;신재영 역</t>
  </si>
  <si>
    <t>JD0000023665</t>
  </si>
  <si>
    <t>인류가 살고 있는 우주</t>
  </si>
  <si>
    <t>오카무라 사다노리 ;이케우치 사토루 ;카이후 노리오 ;사토 카츠히코 ;나가하라 히로코 엮음 ;조황희 옮김</t>
  </si>
  <si>
    <t>JD0000023666</t>
  </si>
  <si>
    <t>(오픈소스 소프트웨어를 이용한) 해양 모델링  : 기초편</t>
  </si>
  <si>
    <t>Jochen Kampf 지음 ;이상룡 ;이재철 옮김</t>
  </si>
  <si>
    <t>JD0000023667</t>
  </si>
  <si>
    <t>JD0000023668</t>
  </si>
  <si>
    <t>JD0000023669</t>
  </si>
  <si>
    <t>JD0000023670</t>
  </si>
  <si>
    <t>행복한 사람의 DNA는 어떻게 다른가?  : 진화심리학·뇌과학, 행복의 비밀을 풀다</t>
  </si>
  <si>
    <t>대니얼 네틀 지음 ;김상우 옮김</t>
  </si>
  <si>
    <t>와이즈북</t>
  </si>
  <si>
    <t>JD0000023671</t>
  </si>
  <si>
    <t>현대유기화학</t>
  </si>
  <si>
    <t>Rodger W. Griffin Jr. 저 ;정평진 역</t>
  </si>
  <si>
    <t>동명사</t>
  </si>
  <si>
    <t>JD0000023672</t>
  </si>
  <si>
    <t>화학공학개론</t>
  </si>
  <si>
    <t>橋本健治 저 ;정민철 역</t>
  </si>
  <si>
    <t>동화기술</t>
  </si>
  <si>
    <t>JD0000023673</t>
  </si>
  <si>
    <t>(사범대생을 위한) 확률과 통계</t>
  </si>
  <si>
    <t>장세경 지음</t>
  </si>
  <si>
    <t>JD0000023674</t>
  </si>
  <si>
    <t>확률의 세계  : '우연'에 숨은 수학 법칙</t>
  </si>
  <si>
    <t>뉴턴코리아 편</t>
  </si>
  <si>
    <t>JD0000023675</t>
  </si>
  <si>
    <t>론 로즈 지음 ;정옥배 옮김</t>
  </si>
  <si>
    <t>디모데</t>
  </si>
  <si>
    <t>JD0000023676</t>
  </si>
  <si>
    <t>거짓 신들의 세상  : 내 삶을 좌우하는 단 하나의 희망 찾기</t>
  </si>
  <si>
    <t>티머시 켈러 지음 ;이미정 옮김</t>
  </si>
  <si>
    <t>베가북스</t>
  </si>
  <si>
    <t>JD0000023677</t>
  </si>
  <si>
    <t>고난과 하나님의 전능  : 신정론의 물음과 신학적 답변</t>
  </si>
  <si>
    <t>박영식 지음</t>
  </si>
  <si>
    <t>동연</t>
  </si>
  <si>
    <t>JD0000023678</t>
  </si>
  <si>
    <t>(과학으로 본) 진화론의 허구</t>
  </si>
  <si>
    <t>밴스 페렐 지음 ;홍지연 ;장준익 옮김</t>
  </si>
  <si>
    <t>말씀보존학회</t>
  </si>
  <si>
    <t>JD0000023679</t>
  </si>
  <si>
    <t>기다리다 죽겠어요</t>
  </si>
  <si>
    <t>이애경 지음</t>
  </si>
  <si>
    <t>터치북스</t>
  </si>
  <si>
    <t>JD0000023680</t>
  </si>
  <si>
    <t>기도가 만든 사람  : 벼랑끝에서 비상하는 삶의 비밀</t>
  </si>
  <si>
    <t>강준민 지음</t>
  </si>
  <si>
    <t>두란노</t>
  </si>
  <si>
    <t>JD0000023681</t>
  </si>
  <si>
    <t>기도발이 센 기도명당 50선  : 기도발이란 시간·공간·인간의 삼위일체가 관건</t>
  </si>
  <si>
    <t>魯炳漢 著</t>
  </si>
  <si>
    <t>안암문화사</t>
  </si>
  <si>
    <t>JD0000023682</t>
  </si>
  <si>
    <t>김교신의 신앙과 저항  : 한국 무교회주의자의 전투적 생애</t>
  </si>
  <si>
    <t>니이호리 구니지 지음 ;김정옥 옮김</t>
  </si>
  <si>
    <t>익두스</t>
  </si>
  <si>
    <t>JD0000023683</t>
  </si>
  <si>
    <t>내 영혼의 우물, Jesus</t>
  </si>
  <si>
    <t>마크 홀 지음 ;최요한 옮김</t>
  </si>
  <si>
    <t>두란노서원</t>
  </si>
  <si>
    <t>JD0000023684</t>
  </si>
  <si>
    <t>도르트 신조 강해</t>
  </si>
  <si>
    <t>코르넬리스 프롱크 지음 ;황준호 옮김</t>
  </si>
  <si>
    <t>그책의사람들</t>
  </si>
  <si>
    <t>JD0000023685</t>
  </si>
  <si>
    <t>마조어록  : 이 마음이 부처다</t>
  </si>
  <si>
    <t>[마조도일 저] ;김태완 역주</t>
  </si>
  <si>
    <t>침묵의 향기</t>
  </si>
  <si>
    <t>JD0000023686</t>
  </si>
  <si>
    <t>믿지 않아도 꼭 알아야 할 종교 이야기  : 상대의 본성부터 불확실한 미래의 꿈까지 열리고! 통하고! 깨닫는! 30초 종교 다이제스트</t>
  </si>
  <si>
    <t>러셀 리 매닝 엮음 ;이재영 옮김</t>
  </si>
  <si>
    <t>오픈하우스</t>
  </si>
  <si>
    <t>JD0000023687</t>
  </si>
  <si>
    <t>바오밥나무는 내게 비우라 하네  : 순수의 땅 아프리카가 들려주는 영혼의 지혜</t>
  </si>
  <si>
    <t>제니스 맥로플린 지음 ;공경희 옮김</t>
  </si>
  <si>
    <t>JD0000023688</t>
  </si>
  <si>
    <t>법구경</t>
  </si>
  <si>
    <t>법구 엮음 ;한명숙 옮김</t>
  </si>
  <si>
    <t>홍익출판사</t>
  </si>
  <si>
    <t>JD0000023689</t>
  </si>
  <si>
    <t>복음주의 교회성장학</t>
  </si>
  <si>
    <t>한국복음주의 실천신학회 엮음</t>
  </si>
  <si>
    <t>생명의말씀사</t>
  </si>
  <si>
    <t>JD0000023690</t>
  </si>
  <si>
    <t>복음주의 미래  : 쟁점과 전망</t>
  </si>
  <si>
    <t>크레이그 G. 바돌로뮤 외 2인 편집 ;이호우 옮김</t>
  </si>
  <si>
    <t>기독교문서선교회</t>
  </si>
  <si>
    <t>JD0000023691</t>
  </si>
  <si>
    <t>부모은중경. 대방편불보은경</t>
  </si>
  <si>
    <t>편자 미상 ;최은영 옮김</t>
  </si>
  <si>
    <t>JD0000023692</t>
  </si>
  <si>
    <t>산사는 깊다  : 산사의 생활문화로 들어가는 34가지 이야기</t>
  </si>
  <si>
    <t>지안 스님 지음</t>
  </si>
  <si>
    <t>불광출판사</t>
  </si>
  <si>
    <t>JD0000023693</t>
  </si>
  <si>
    <t>삶으로 증명하라</t>
  </si>
  <si>
    <t>이찬수 지음</t>
  </si>
  <si>
    <t>규장</t>
  </si>
  <si>
    <t>JD0000023694</t>
  </si>
  <si>
    <t>생사령</t>
  </si>
  <si>
    <t>자미국 지음</t>
  </si>
  <si>
    <t>한솜미디어</t>
  </si>
  <si>
    <t>JD0000023695</t>
  </si>
  <si>
    <t>(우리가 모르고 쓰는)생활 속 불교용어</t>
  </si>
  <si>
    <t>방경일 글 ;김광일 삽화</t>
  </si>
  <si>
    <t>운주사</t>
  </si>
  <si>
    <t>JD0000023696</t>
  </si>
  <si>
    <t>(성경에서 가르치는) 장로</t>
  </si>
  <si>
    <t>코넬리스 반 담 지음 ;김헌수 ;양태진 옮김</t>
  </si>
  <si>
    <t>성약</t>
  </si>
  <si>
    <t>JD0000023697</t>
  </si>
  <si>
    <t>성서로 만나는 중용의 세계</t>
  </si>
  <si>
    <t>이종찬 지음</t>
  </si>
  <si>
    <t>JD0000023698</t>
  </si>
  <si>
    <t>(최준식 교수의) 세계 종교 이야기  : 종교를 알면 세계가 보인다</t>
  </si>
  <si>
    <t>JD0000023699</t>
  </si>
  <si>
    <t>십자가로의 초대</t>
  </si>
  <si>
    <t>Ronda De Sola Chervin 지음 ;김애선 옮김</t>
  </si>
  <si>
    <t>주심</t>
  </si>
  <si>
    <t>JD0000023700</t>
  </si>
  <si>
    <t>아빠의 선물  : 삶이 선물이듯 고난도 선물입니다</t>
  </si>
  <si>
    <t>정정숙 지음</t>
  </si>
  <si>
    <t>시냇가에심은나무</t>
  </si>
  <si>
    <t>JD0000023701</t>
  </si>
  <si>
    <t>우리 옆에 왔던 부처  : 성철 큰스님 전기소설</t>
  </si>
  <si>
    <t>이청 지음</t>
  </si>
  <si>
    <t>문화문고</t>
  </si>
  <si>
    <t>JD0000023702</t>
  </si>
  <si>
    <t>임마누엘 하나님  : 임마누엘 신학과 정신</t>
  </si>
  <si>
    <t>윤사무엘 지음</t>
  </si>
  <si>
    <t>쿰란출판사</t>
  </si>
  <si>
    <t>JD0000023703</t>
  </si>
  <si>
    <t>전쟁, 평화, 무저항  : 신앙과 실천으로 보는 메노나이트의 평화 개념</t>
  </si>
  <si>
    <t>가이 허쉬버거 지음 ;최봉기 옮김</t>
  </si>
  <si>
    <t>대장간</t>
  </si>
  <si>
    <t>JD0000023704</t>
  </si>
  <si>
    <t>종교란 무엇인가  = What is religion?  : 신의 실체에서 종교 전쟁까지</t>
  </si>
  <si>
    <t>오강남 지음</t>
  </si>
  <si>
    <t>JD0000023705</t>
  </si>
  <si>
    <t>성경 들려주는 동물원</t>
  </si>
  <si>
    <t>로이스 록 엮음 ;마티나 펄루소 그림 ;이재경 옮김</t>
  </si>
  <si>
    <t>루돌프</t>
  </si>
  <si>
    <t>JD0000023706</t>
  </si>
  <si>
    <t>좌선  : 함께 앉고 함께 나누기</t>
  </si>
  <si>
    <t>이희익 지음 ;선도성찰나눔실천회 엮음</t>
  </si>
  <si>
    <t>본북</t>
  </si>
  <si>
    <t>JD0000023707</t>
  </si>
  <si>
    <t>쪽방동네 거지왕초  : 걸인과 쪽방촌의 대부 의송 김흥용의 이야기</t>
  </si>
  <si>
    <t>김흥용 지음</t>
  </si>
  <si>
    <t>우리하나</t>
  </si>
  <si>
    <t>JD0000023708</t>
  </si>
  <si>
    <t>천국생명의 세 덕목  : 김이태 목사 설교집</t>
  </si>
  <si>
    <t>김이태 지음</t>
  </si>
  <si>
    <t>은혜출판사</t>
  </si>
  <si>
    <t>JD0000023709</t>
  </si>
  <si>
    <t>초기 선종 동산 법문과 염불선</t>
  </si>
  <si>
    <t>박건주 지음</t>
  </si>
  <si>
    <t>비움과소통</t>
  </si>
  <si>
    <t>JD0000023710</t>
  </si>
  <si>
    <t>초남이 동정 부부</t>
  </si>
  <si>
    <t>김성봉 지음</t>
  </si>
  <si>
    <t>가톨릭출판사</t>
  </si>
  <si>
    <t>JD0000023711</t>
  </si>
  <si>
    <t>평화는 어떻게 시작되는가  : 플럼빌리지 공동체에서 일어난 행복한 기적</t>
  </si>
  <si>
    <t>틱낫한 지음 ;강주영 옮김</t>
  </si>
  <si>
    <t>JD0000023712</t>
  </si>
  <si>
    <t>프랭크 루박의 기도일기  : 하나님의 음성에 순종할 때 일어난 6개월간의 동행 기록</t>
  </si>
  <si>
    <t>프랭크 루박 지음 ;배응준 옮김</t>
  </si>
  <si>
    <t>JD0000023713</t>
  </si>
  <si>
    <t>하나님의 언약과 자녀 교육  = (The) covenant of God and christian parenting</t>
  </si>
  <si>
    <t>최낙재 목사 지음</t>
  </si>
  <si>
    <t>JD0000023714</t>
  </si>
  <si>
    <t>하나님의 임재를 경험하는 예배자</t>
  </si>
  <si>
    <t>패트릭 카바로우 지음 ;김창대 옮김</t>
  </si>
  <si>
    <t>브니엘</t>
  </si>
  <si>
    <t>JD0000023715</t>
  </si>
  <si>
    <t>한국 기독교회의 역사. 상</t>
  </si>
  <si>
    <t>김인수 지음</t>
  </si>
  <si>
    <t>JD0000023716</t>
  </si>
  <si>
    <t>한국 기독교회의 역사. 하</t>
  </si>
  <si>
    <t>JD0000023717</t>
  </si>
  <si>
    <t>한국 개신교회와 천주교회의 문제점들</t>
  </si>
  <si>
    <t>권영문 지음</t>
  </si>
  <si>
    <t>세종출판사</t>
  </si>
  <si>
    <t>JD0000023718</t>
  </si>
  <si>
    <t>한국고대불교외교사연구</t>
  </si>
  <si>
    <t>김선숙 지음</t>
  </si>
  <si>
    <t>JD0000023719</t>
  </si>
  <si>
    <t>멈추면 비로소 보이는 것들  : 혜민 스님과 함께하는 내 마음 다시보기</t>
  </si>
  <si>
    <t>혜민 지음 ;우창헌 그림</t>
  </si>
  <si>
    <t>JD0000023720</t>
  </si>
  <si>
    <t>JD0000023721</t>
  </si>
  <si>
    <t>한국인의 영성</t>
  </si>
  <si>
    <t>돈 베이커 지음 ;박소정 옮김</t>
  </si>
  <si>
    <t>JD0000023722</t>
  </si>
  <si>
    <t>(한글) 지장경</t>
  </si>
  <si>
    <t>불교시대사 편</t>
  </si>
  <si>
    <t>불교시대사</t>
  </si>
  <si>
    <t>JD0000023723</t>
  </si>
  <si>
    <t>함석헌의 철학과 종교 세계  : 생각 없는 세계에 대한 저항</t>
  </si>
  <si>
    <t>김대식 지음</t>
  </si>
  <si>
    <t>JD0000023724</t>
  </si>
  <si>
    <t>김종배 지음</t>
  </si>
  <si>
    <t>반비</t>
  </si>
  <si>
    <t>JD0000023725</t>
  </si>
  <si>
    <t>가족상담 및 치료  = Family counseling &amp; therapy</t>
  </si>
  <si>
    <t>김혜숙 ;박주현 ;이영주 ;임상록 지음</t>
  </si>
  <si>
    <t>JD0000023726</t>
  </si>
  <si>
    <t>경제다반사  : 밥을 먹고 차를 마시듯 일상생활 속에 스며있는 경제 지식에 대한 경제 지식에 대한 이야기</t>
  </si>
  <si>
    <t>웹진 &lt;경제 다반사&gt; 기획팀 지음</t>
  </si>
  <si>
    <t>RSG</t>
  </si>
  <si>
    <t>JD0000023727</t>
  </si>
  <si>
    <t>(공병호의) 고전강독. 1  : 소크라테스와 플라톤에게 최고의 인생을 묻다</t>
  </si>
  <si>
    <t>공병호 지음</t>
  </si>
  <si>
    <t>해냄</t>
  </si>
  <si>
    <t>JD0000023728</t>
  </si>
  <si>
    <t>(공병호의) 고전강독. 2  : 소크라테스와 플라톤에게 다시 정의를 묻다</t>
  </si>
  <si>
    <t>JD0000023729</t>
  </si>
  <si>
    <t>(공병호의) 고전강독. 3 :, 아리스토텔레스에게 진정한 행복을 묻다</t>
  </si>
  <si>
    <t>해냄출판사</t>
  </si>
  <si>
    <t>JD0000023730</t>
  </si>
  <si>
    <t>(그 머릿속엔 도대체 뭐가?) 그러니까 심리학</t>
  </si>
  <si>
    <t>대니얼 프리먼 ;제이슨 프리먼 지음 ;이종훈 옮김</t>
  </si>
  <si>
    <t>북돋음</t>
  </si>
  <si>
    <t>JD0000023731</t>
  </si>
  <si>
    <t>글쓰기 치료  : 글쓰기치료 입문자들을 위한 안내서</t>
  </si>
  <si>
    <t>Gillie Bolton ;Stephanie Howlett ;Colin Lago ;Jeannie K. Wright 공편 ;김춘경 ;이정희 공역</t>
  </si>
  <si>
    <t>JD0000023732</t>
  </si>
  <si>
    <t>김진경의 신화로 읽는 세상  : 생각하는 법을 바꿔야 한다</t>
  </si>
  <si>
    <t>김진경 지음</t>
  </si>
  <si>
    <t>자음과모음</t>
  </si>
  <si>
    <t>JD0000023733</t>
  </si>
  <si>
    <t>(인생에서 가장 중요한 청소년 시기에)나를 감동시키는 한 권의 책</t>
  </si>
  <si>
    <t>김태균 지음</t>
  </si>
  <si>
    <t>새론북스</t>
  </si>
  <si>
    <t>JD0000023734</t>
  </si>
  <si>
    <t>낙관성 학습  : 어떻게 내 마음과 삶을 바꿀까? 긍정심리학의 행복 가이드</t>
  </si>
  <si>
    <t>마틴 셀리그만 지음 ;우문식 ;최호영 옮김</t>
  </si>
  <si>
    <t>물푸레</t>
  </si>
  <si>
    <t>JD0000023735</t>
  </si>
  <si>
    <t>남자의 도  : 모조품으로 전락한 이 시대 남자들의 행복 찾기</t>
  </si>
  <si>
    <t>한하오웨 지음 ;김영화 옮김</t>
  </si>
  <si>
    <t>물병자리</t>
  </si>
  <si>
    <t>JD0000023736</t>
  </si>
  <si>
    <t>(내가 행복해지는) 거절의 힘</t>
  </si>
  <si>
    <t>마누엘 스미스 지음 ;박미경 옮김</t>
  </si>
  <si>
    <t>이다미디어</t>
  </si>
  <si>
    <t>JD0000023737</t>
  </si>
  <si>
    <t>(노인을 위한) 독서치료</t>
  </si>
  <si>
    <t>임성관 지음</t>
  </si>
  <si>
    <t>시간의물레</t>
  </si>
  <si>
    <t>JD0000023738</t>
  </si>
  <si>
    <t>노자 도덕경과 왕필의 주</t>
  </si>
  <si>
    <t>노자 지음 ;김학목 옮김</t>
  </si>
  <si>
    <t>JD0000023739</t>
  </si>
  <si>
    <t>노자와 융  : 『도덕경』의 분석심리학적 해석</t>
  </si>
  <si>
    <t>이부영 지음</t>
  </si>
  <si>
    <t>한길사</t>
  </si>
  <si>
    <t>JD0000023740</t>
  </si>
  <si>
    <t>다문화심리학</t>
  </si>
  <si>
    <t>Gordon C. Nagayama Hall 지음 ;임세라 ;최은미 옮김</t>
  </si>
  <si>
    <t>JD0000023741</t>
  </si>
  <si>
    <t>다산 정약용 연구</t>
  </si>
  <si>
    <t>송재소 ;이봉규 ;김태영 ;안병직 ;조성을 저 ;실시학사 편</t>
  </si>
  <si>
    <t>사람의무늬 :성균관대학교 출판부·</t>
  </si>
  <si>
    <t>JD0000023742</t>
  </si>
  <si>
    <t>다시쓰는 서양근대철학사  : 우리의 눈으로 본 철학사</t>
  </si>
  <si>
    <t>한국철학사상연구회 지음</t>
  </si>
  <si>
    <t>오월의봄</t>
  </si>
  <si>
    <t>JD0000023743</t>
  </si>
  <si>
    <t>담헌 홍대용 연구</t>
  </si>
  <si>
    <t>문석윤 ;박희병 ;김문용 ;송지원 ;이경구 지음 ;실시학사 편</t>
  </si>
  <si>
    <t>사람의무늬</t>
  </si>
  <si>
    <t>JD0000023744</t>
  </si>
  <si>
    <t>대학·중용</t>
  </si>
  <si>
    <t>주희 엮음 ;김미영 옮김</t>
  </si>
  <si>
    <t>JD0000023745</t>
  </si>
  <si>
    <t>덕윤리의 현대적 의의  : 의무윤리와 결과윤리가 상보하는 제3윤리의 모색</t>
  </si>
  <si>
    <t>황경식 지음</t>
  </si>
  <si>
    <t>아카넷</t>
  </si>
  <si>
    <t>JD0000023746</t>
  </si>
  <si>
    <t>들뢰즈와 가타리의 무한 속도. 1권</t>
  </si>
  <si>
    <t>제롬 로장발롱 지음 ;브누아 프레트세이 그림 ;성기현 옮김</t>
  </si>
  <si>
    <t>JD0000023747</t>
  </si>
  <si>
    <t>들뢰즈의 씨네마톨로지  = Deleuzian cinematology</t>
  </si>
  <si>
    <t>조성훈 지음</t>
  </si>
  <si>
    <t>갈무리</t>
  </si>
  <si>
    <t>JD0000023748</t>
  </si>
  <si>
    <t>라디오헤드로 철학하기</t>
  </si>
  <si>
    <t>브랜든 포브스 외 지음 ;김경주 옮김</t>
  </si>
  <si>
    <t>한빛비즈</t>
  </si>
  <si>
    <t>JD0000023749</t>
  </si>
  <si>
    <t>러시아 거장들, 삶을 말하다  : 삶을 찾는 인문학 강의 여행</t>
  </si>
  <si>
    <t>오종우 지음</t>
  </si>
  <si>
    <t>사람의무늬 :성균관대학교 출판부</t>
  </si>
  <si>
    <t>JD0000023750</t>
  </si>
  <si>
    <t>마음의 상처, 영화로 힐링하기</t>
  </si>
  <si>
    <t>이병욱 지음</t>
  </si>
  <si>
    <t>소울메이트</t>
  </si>
  <si>
    <t>JD0000023751</t>
  </si>
  <si>
    <t>맹자</t>
  </si>
  <si>
    <t>맹자 지음 ;박경환 옮김</t>
  </si>
  <si>
    <t>JD0000023752</t>
  </si>
  <si>
    <t>멘탈 휘트니스 긍정심리 프로그램</t>
  </si>
  <si>
    <t>고영건 ;김진영 공저</t>
  </si>
  <si>
    <t>JD0000023753</t>
  </si>
  <si>
    <t>문화 이론 사전</t>
  </si>
  <si>
    <t>앤드루 에드거 ;피트 세즈윅 엮음 ;박명진 ;이영욱 ;김창남 ;정준영 ;손병우 ;주은우 ;주형일 ;양은경 ;김예란 옮김</t>
  </si>
  <si>
    <t>한나래</t>
  </si>
  <si>
    <t>JD0000023754</t>
  </si>
  <si>
    <t>미룸  : 달콤한, 그러나 치명적인 습관</t>
  </si>
  <si>
    <t>제인 버카 ;르노라 M. 위엔 지음 ;윤상운 옮김</t>
  </si>
  <si>
    <t>JD0000023755</t>
  </si>
  <si>
    <t>미술치료 용어사전</t>
  </si>
  <si>
    <t>박현일 지음</t>
  </si>
  <si>
    <t>JD0000023756</t>
  </si>
  <si>
    <t>사람은 무엇으로 성장하는가  : 30년간 500만 리더들의 삶을 바꾼 기적의 성장 프로젝트</t>
  </si>
  <si>
    <t>존 맥스웰 지음 ;김고명 옮김</t>
  </si>
  <si>
    <t>비즈니스북스</t>
  </si>
  <si>
    <t>JD0000023757</t>
  </si>
  <si>
    <t>사람은 왜 아픈가  : 상처, 치유 그리고 관계의 이야기</t>
  </si>
  <si>
    <t>이흥표 저</t>
  </si>
  <si>
    <t>JD0000023758</t>
  </si>
  <si>
    <t>사랑하기에 결코 늦지 않았다  : 정신과 의사 하지현의 심리 에세이</t>
  </si>
  <si>
    <t>하지현 지음</t>
  </si>
  <si>
    <t>JD0000023759</t>
  </si>
  <si>
    <t>사랑했으니까 괜찮아  : 사랑에 상처받은 이들을 위한 연애 심리 치유서</t>
  </si>
  <si>
    <t>황혜정 지음</t>
  </si>
  <si>
    <t>팬덤북스</t>
  </si>
  <si>
    <t>JD0000023760</t>
  </si>
  <si>
    <t>삶이 풍요로운 여섯 비결</t>
  </si>
  <si>
    <t>오광익 역해</t>
  </si>
  <si>
    <t>명문당</t>
  </si>
  <si>
    <t>JD0000023761</t>
  </si>
  <si>
    <t>새로운 세상을 여는 인간의 진리</t>
  </si>
  <si>
    <t>홍규섭 지음</t>
  </si>
  <si>
    <t>양서원</t>
  </si>
  <si>
    <t>JD0000023762</t>
  </si>
  <si>
    <t>생각의 영토를 확장하라  : 세상을 리더한 24가지 파워 사유법</t>
  </si>
  <si>
    <t>차오름 지음</t>
  </si>
  <si>
    <t>JD0000023763</t>
  </si>
  <si>
    <t>생각의 지도  : 진중권의 철학 에세이</t>
  </si>
  <si>
    <t>진중권 지음</t>
  </si>
  <si>
    <t>천년의상상</t>
  </si>
  <si>
    <t>JD0000023764</t>
  </si>
  <si>
    <t>(생각하는 힘을 키우는) 철학하다!</t>
  </si>
  <si>
    <t>하타케야마 소우 지음 ;김형주 옮김</t>
  </si>
  <si>
    <t>JD0000023765</t>
  </si>
  <si>
    <t>생명관리정치의 탄생  : 콜레주드프랑스 강의 1978-79년</t>
  </si>
  <si>
    <t>미셸 푸코 지음 ;오트르망 옮김</t>
  </si>
  <si>
    <t>난장</t>
  </si>
  <si>
    <t>JD0000023766</t>
  </si>
  <si>
    <t>선택의 심리학  : 어떻게 선택할 것인가</t>
  </si>
  <si>
    <t>쉬나 아이엔가 지음 ;오혜경 옮김</t>
  </si>
  <si>
    <t>JD0000023767</t>
  </si>
  <si>
    <t>성인발달 및 노화심리학  = Adult development &amp; Aging psychology</t>
  </si>
  <si>
    <t>장휘숙 지음</t>
  </si>
  <si>
    <t>박영사</t>
  </si>
  <si>
    <t>JD0000023768</t>
  </si>
  <si>
    <t>성호 이익 연구</t>
  </si>
  <si>
    <t>최석기 ;정만조 ;이헌창 ;김문식 ;구만옥 지음 ;실시학사 편</t>
  </si>
  <si>
    <t>JD0000023769</t>
  </si>
  <si>
    <t>소크라테스, 인생에 답하다  : 소크라테스가 제시하는 자각과 성찰의 가르침</t>
  </si>
  <si>
    <t>엄정식 지음</t>
  </si>
  <si>
    <t>JD0000023770</t>
  </si>
  <si>
    <t>소크라테스의 변론 ;. 크리톤 ;. 파이돈 ;. 향연</t>
  </si>
  <si>
    <t>플라톤 지음 ;천병희 옮김</t>
  </si>
  <si>
    <t>숲</t>
  </si>
  <si>
    <t>JD0000023771</t>
  </si>
  <si>
    <t>손자병법</t>
  </si>
  <si>
    <t>손무 지음 ;유동환 옮김</t>
  </si>
  <si>
    <t>JD0000023772</t>
  </si>
  <si>
    <t>시경</t>
  </si>
  <si>
    <t>심영환 옮김</t>
  </si>
  <si>
    <t>JD0000023773</t>
  </si>
  <si>
    <t>(서울대 송용준 교수가 초대하는) 식탁 위의 논어</t>
  </si>
  <si>
    <t>공자 원저 ;송용준 주해</t>
  </si>
  <si>
    <t>페이퍼로드</t>
  </si>
  <si>
    <t>JD0000023774</t>
  </si>
  <si>
    <t>신은 아무것도 쓰지 않았다  : 자연주의자 이브 파칼레의 생명에 관한 철학 에세이</t>
  </si>
  <si>
    <t>이브 파칼레 지음 ;이세진 옮김</t>
  </si>
  <si>
    <t>해나무</t>
  </si>
  <si>
    <t>JD0000023775</t>
  </si>
  <si>
    <t>심리학 연구방법</t>
  </si>
  <si>
    <t>David G. Elmes ;Barry H. Kantowitz ;Henry L. Roediger Ⅲ ;남종호 옮김</t>
  </si>
  <si>
    <t>센게이지러닝코리아</t>
  </si>
  <si>
    <t>JD0000023776</t>
  </si>
  <si>
    <t>싸이노믹스  = Psynomics: psychology·economics  : 심리학과 경제학이 만나다!</t>
  </si>
  <si>
    <t>조월화 지음 ;허진아 옮김</t>
  </si>
  <si>
    <t>초록물고기</t>
  </si>
  <si>
    <t>JD0000023777</t>
  </si>
  <si>
    <t>(제자백가의 위대한 종합) 여씨춘추</t>
  </si>
  <si>
    <t>여불위 지음 ;김근 옮김</t>
  </si>
  <si>
    <t>글항아리</t>
  </si>
  <si>
    <t>JD0000023778</t>
  </si>
  <si>
    <t>여자는 서운하고 남자는 억울하다  : 지금 막 사랑에 빠진 이들을 위한 응급연애처방전</t>
  </si>
  <si>
    <t>미하엘 아이히함머 지음 ;윤진희 옮김</t>
  </si>
  <si>
    <t>샘터사</t>
  </si>
  <si>
    <t>JD0000023779</t>
  </si>
  <si>
    <t>완벽하게 자살하는 방법  : 그런데 왜 죽느냔 말이다</t>
  </si>
  <si>
    <t>이성주 지음</t>
  </si>
  <si>
    <t>유리창</t>
  </si>
  <si>
    <t>JD0000023780</t>
  </si>
  <si>
    <t>왜 모든 사람은 [나만 빼고] 위선자인가  : 거짓말 심리학</t>
  </si>
  <si>
    <t>로버트 커즈번 지음 ;한은경 옮김</t>
  </si>
  <si>
    <t>을유문화사</t>
  </si>
  <si>
    <t>JD0000023781</t>
  </si>
  <si>
    <t>우리가 섬세해졌을 때 알게 되는 것들</t>
  </si>
  <si>
    <t>김범진 글 ;김용철 사진</t>
  </si>
  <si>
    <t>갤리온</t>
  </si>
  <si>
    <t>JD0000023782</t>
  </si>
  <si>
    <t>유학, 시대와 통하다</t>
  </si>
  <si>
    <t>김교빈 ;김문식 ;김세정 ;배병삼 ;이도흠 ;이숙인 ;전호근 ;한형조 지음</t>
  </si>
  <si>
    <t>JD0000023783</t>
  </si>
  <si>
    <t>육도·삼략</t>
  </si>
  <si>
    <t>태공망 ;황석공 지음 ;유동환 옮김</t>
  </si>
  <si>
    <t>JD0000023784</t>
  </si>
  <si>
    <t>이 중국에 거하라  : '중국이란 무엇인가'에 대한 새로운 탐구</t>
  </si>
  <si>
    <t>거자오광 지음 ;이원석 옮김</t>
  </si>
  <si>
    <t>JD0000023785</t>
  </si>
  <si>
    <t>이상한 나라의 연애학개론  : 연애부터 결혼까지 남녀관계 리셋 솔루션</t>
  </si>
  <si>
    <t>팀 레이 지음 ;전해자 옮김</t>
  </si>
  <si>
    <t>행성:B잎새</t>
  </si>
  <si>
    <t>JD0000023786</t>
  </si>
  <si>
    <t>이즘  = ISM  : 인간이 남긴 모든 생각 :, 철학·정치 편</t>
  </si>
  <si>
    <t>박민영 지음</t>
  </si>
  <si>
    <t>JD0000023787</t>
  </si>
  <si>
    <t>인튜이션  : 이성보다 더 이성적인 직관의 힘</t>
  </si>
  <si>
    <t>게리 클라인 지음 ;이유진 옮김</t>
  </si>
  <si>
    <t>한국경제신문</t>
  </si>
  <si>
    <t>JD0000023788</t>
  </si>
  <si>
    <t>일상에서 철학하기  : 낯익은 세상을 낯설게 바꾸는 101가지 철학 체험</t>
  </si>
  <si>
    <t>로제 폴 드르와 지음 ;박언주 옮김</t>
  </si>
  <si>
    <t>JD0000023789</t>
  </si>
  <si>
    <t>자유로부터의 도피</t>
  </si>
  <si>
    <t>에리히 프롬 지음 ;김석희 옮김</t>
  </si>
  <si>
    <t>JD0000023790</t>
  </si>
  <si>
    <t>정신분석 입문</t>
  </si>
  <si>
    <t>지그문트 프로이트 지음 ;이규환 옮김</t>
  </si>
  <si>
    <t>육문사</t>
  </si>
  <si>
    <t>JD0000023791</t>
  </si>
  <si>
    <t>주의가 산만한 소녀들!  : 주의력 결핍 과잉행동 장애에 관한 모든 것을 배우는 책</t>
  </si>
  <si>
    <t>Patricia O. Quinn 지음 ;Carl Pearce 그림 ;이영나 ;이승호 옮김</t>
  </si>
  <si>
    <t>JD0000023792</t>
  </si>
  <si>
    <t>중국 제국을 움직인 네 가지 힘  : 2000년 사유의 티핑포인트를 읽어야 현대 중국이 보인다</t>
  </si>
  <si>
    <t>미조구치 유조 ;이케다 도모히사 ;고지마 쓰요시 지음 ;조영렬 옮김</t>
  </si>
  <si>
    <t>JD0000023793</t>
  </si>
  <si>
    <t>즐거운 경험말하기  : 이야기 능력 향상을 위한 그룹프로그램</t>
  </si>
  <si>
    <t>권유진 ;명진선 ;윤성혜 ;윤승주 ;이수현 ;전미선 지음</t>
  </si>
  <si>
    <t>JD0000023794</t>
  </si>
  <si>
    <t>지금까지 알고 있던 내 모습이 모두 가짜라면?</t>
  </si>
  <si>
    <t>브루스 후드 지음 ;장호연 옮김</t>
  </si>
  <si>
    <t>JD0000023795</t>
  </si>
  <si>
    <t>집 잃은 개  : 『논어』읽기, 새로운 시선의 출현. 1</t>
  </si>
  <si>
    <t>리링 지음 ;김갑수 옮김</t>
  </si>
  <si>
    <t>JD0000023796</t>
  </si>
  <si>
    <t>집 잃은 개  : 『논어』읽기, 새로운 시선의 출현. 2</t>
  </si>
  <si>
    <t>JD0000023797</t>
  </si>
  <si>
    <t>집요한 상상</t>
  </si>
  <si>
    <t>최종일 ;김용섭 지음</t>
  </si>
  <si>
    <t>JD0000023798</t>
  </si>
  <si>
    <t>천자문 읽어주는 책</t>
  </si>
  <si>
    <t>김환기 지음</t>
  </si>
  <si>
    <t>일월담</t>
  </si>
  <si>
    <t>JD0000023799</t>
  </si>
  <si>
    <t>천재의 탄생  : 세상을 놀라게 한 창조적 도약의 비밀</t>
  </si>
  <si>
    <t>앤드루 로빈슨 지음 ;박종성 옮김</t>
  </si>
  <si>
    <t>JD0000023800</t>
  </si>
  <si>
    <t>철학을 권하다  : 삶을 사랑하는 기술</t>
  </si>
  <si>
    <t>줄스 에반스 지음 ;서영조 옮김</t>
  </si>
  <si>
    <t>더퀘스트</t>
  </si>
  <si>
    <t>JD0000023801</t>
  </si>
  <si>
    <t>철학의 전환점  = Turning points of philosophy  : 터닝 포인트로 재구성한 서양철학의 역사</t>
  </si>
  <si>
    <t>최재식 외 지음</t>
  </si>
  <si>
    <t>프로네시스</t>
  </si>
  <si>
    <t>JD0000023802</t>
  </si>
  <si>
    <t>(불필요한 것들이 넘쳐나는 세상 속에서) 철학자의 디자인 공부</t>
  </si>
  <si>
    <t>스테판 비알 지음 ;이소영 옮김</t>
  </si>
  <si>
    <t>JD0000023803</t>
  </si>
  <si>
    <t>철학자의 설득법  : 지성과 감성을 흔드는 소피스트 수사학</t>
  </si>
  <si>
    <t>안광복 지음</t>
  </si>
  <si>
    <t>어크로스</t>
  </si>
  <si>
    <t>JD0000023804</t>
  </si>
  <si>
    <t>최재천 스타일  : 지적생활인의 공감</t>
  </si>
  <si>
    <t>최재천 지음</t>
  </si>
  <si>
    <t>명진출판</t>
  </si>
  <si>
    <t>JD0000023805</t>
  </si>
  <si>
    <t>(아이의 마음을 치유하는) 토닥토닥 심성놀이</t>
  </si>
  <si>
    <t>허승환 지음</t>
  </si>
  <si>
    <t>테크빌닷컴</t>
  </si>
  <si>
    <t>JD0000023806</t>
  </si>
  <si>
    <t>토포스  = Topos  : 장소의 철학</t>
  </si>
  <si>
    <t>나카무라 유지로 지음 ;박철은 옮김</t>
  </si>
  <si>
    <t>그린비</t>
  </si>
  <si>
    <t>JD0000023807</t>
  </si>
  <si>
    <t>통찰  : 자연, 인간, 사회를 관통하는 최재천의 생각</t>
  </si>
  <si>
    <t>JD0000023808</t>
  </si>
  <si>
    <t>파스칼의 질문  : &lt;팡세&gt;에 담긴 신과 인생의 방정식</t>
  </si>
  <si>
    <t>토머스 V. 모리스 지음 ;유자화 ;이윤 옮김</t>
  </si>
  <si>
    <t>필로소픽</t>
  </si>
  <si>
    <t>JD0000023809</t>
  </si>
  <si>
    <t>프로이트, 인생에 답하다  : 정신분석으로 정직하게 나를 들여다보기</t>
  </si>
  <si>
    <t>JD0000023810</t>
  </si>
  <si>
    <t>(하루에 떠나는) 신화여행</t>
  </si>
  <si>
    <t>최복현 지음</t>
  </si>
  <si>
    <t>페퍼민트</t>
  </si>
  <si>
    <t>JD0000023811</t>
  </si>
  <si>
    <t>(하루에 떠나는) 철학여행</t>
  </si>
  <si>
    <t>김영범 지음</t>
  </si>
  <si>
    <t>JD0000023812</t>
  </si>
  <si>
    <t>한 권의 책으로 시작하는 스무 살</t>
  </si>
  <si>
    <t>차병직 지음</t>
  </si>
  <si>
    <t>JD0000023813</t>
  </si>
  <si>
    <t>한비자 교양강의</t>
  </si>
  <si>
    <t>가이즈카 시게키 지음 ;이목 옮김</t>
  </si>
  <si>
    <t>JD0000023814</t>
  </si>
  <si>
    <t>함석헌의 철학과 사상  = The philosophy of Ham Seokheon</t>
  </si>
  <si>
    <t>박재순 지음</t>
  </si>
  <si>
    <t>JD0000023815</t>
  </si>
  <si>
    <t>행복지도사!  : 행복한 삶으로 코칭하는 행복전문가들의 기초 필독서!</t>
  </si>
  <si>
    <t>김용진 지음</t>
  </si>
  <si>
    <t>웰빙라이프</t>
  </si>
  <si>
    <t>JD0000023816</t>
  </si>
  <si>
    <t>함규진 글 ;돌 스튜디오 그림</t>
  </si>
  <si>
    <t>철수와영희</t>
  </si>
  <si>
    <t>JD0000023817</t>
  </si>
  <si>
    <t>황금열매  : 한국의 민담에서 배우는 지혜</t>
  </si>
  <si>
    <t>권순우 편역</t>
  </si>
  <si>
    <t>일문서적</t>
  </si>
  <si>
    <t>JD0000023818</t>
  </si>
  <si>
    <t>흔들리지 않고 피어나는 마흔은 없다</t>
  </si>
  <si>
    <t>김병수 지음</t>
  </si>
  <si>
    <t>JD0000023819</t>
  </si>
  <si>
    <t>(8주 완성! 고객이 몰려오는) 블로그 마케팅</t>
  </si>
  <si>
    <t>박미애 지음</t>
  </si>
  <si>
    <t>JD0000023820</t>
  </si>
  <si>
    <t>(One page) 인포그래픽스  = One page infographics  : 한 장의 그림으로 설득하는 프레젠테이션 기술</t>
  </si>
  <si>
    <t>우석진 ;김미리 지음</t>
  </si>
  <si>
    <t>샌들코어</t>
  </si>
  <si>
    <t>JD0000023821</t>
  </si>
  <si>
    <t>AutoCAD 2013 무작정 따라하기  : 2D 드로잉부터 3D 모델링까지!</t>
  </si>
  <si>
    <t>권현실 지음</t>
  </si>
  <si>
    <t>길벗</t>
  </si>
  <si>
    <t>JD0000023822</t>
  </si>
  <si>
    <t>C 인터페이스 구현  : 재사용 가능한 소프트웨어 개발을 위한</t>
  </si>
  <si>
    <t>데이비드 R. 핸슨 지음 ;천은정 ;이정욱 옮김</t>
  </si>
  <si>
    <t>케이앤피북스</t>
  </si>
  <si>
    <t>JD0000023823</t>
  </si>
  <si>
    <t>Cocos2D javascript를 이용한 HTML5 게임 개발</t>
  </si>
  <si>
    <t>박현천 ;이승준 지음</t>
  </si>
  <si>
    <t>위키북스</t>
  </si>
  <si>
    <t>JD0000023824</t>
  </si>
  <si>
    <t>C로 시작하는 컴퓨터 프로그래밍  : 쉽게 배우는 C의 기초</t>
  </si>
  <si>
    <t>문호석 ;손명호 지음</t>
  </si>
  <si>
    <t>한빛미디어</t>
  </si>
  <si>
    <t>JD0000023825</t>
  </si>
  <si>
    <t>Final Cut Pro X  : 처음부터 시작하기  : Mac OS X 입문서  : Motion 5 포함</t>
  </si>
  <si>
    <t>최원 지음</t>
  </si>
  <si>
    <t>노하우</t>
  </si>
  <si>
    <t>JD0000023826</t>
  </si>
  <si>
    <t>퀴즈 대백과</t>
  </si>
  <si>
    <t>전승훈 엮음</t>
  </si>
  <si>
    <t>해피&amp;북스</t>
  </si>
  <si>
    <t>JD0000023827</t>
  </si>
  <si>
    <t>(Security) 네트워크 패킷 포렌식  = Network packet forensic  : 네트워크 패킷 분석 및 시스템 해킹 분석 기술</t>
  </si>
  <si>
    <t>최경철 지음</t>
  </si>
  <si>
    <t>secu BOOK</t>
  </si>
  <si>
    <t>JD0000023828</t>
  </si>
  <si>
    <t>단순한 디자인이 성공한다  : 탁월한 서비스와 제품을 만드는 85가지 단순함의 법칙</t>
  </si>
  <si>
    <t>자일즈 콜본 지음 ;yuna 옮김</t>
  </si>
  <si>
    <t>에이콘출판</t>
  </si>
  <si>
    <t>JD0000023829</t>
  </si>
  <si>
    <t>Smart up 컴퓨터 활용과 실습  : 윈도우, 한글·엑셀·파워포인트 2010</t>
  </si>
  <si>
    <t>고경희 지음</t>
  </si>
  <si>
    <t>Infinitybooks</t>
  </si>
  <si>
    <t>JD0000023830</t>
  </si>
  <si>
    <t>갤럭시SⅢ using bible  : 젤리빈 업그레이드 개정판</t>
  </si>
  <si>
    <t>강현주 지음</t>
  </si>
  <si>
    <t>황금부엉이</t>
  </si>
  <si>
    <t>JD0000023831</t>
  </si>
  <si>
    <t>게임 디자인 워크숍  : 체계적인 게임 디자인 학습을 위한 안내서</t>
  </si>
  <si>
    <t>트레이시 풀러턴 지음 ;최민석 옮김</t>
  </si>
  <si>
    <t>JD0000023832</t>
  </si>
  <si>
    <t>(고도몰에서 무료로 쉽게 구축하는)인터넷 쇼핑몰 만들기</t>
  </si>
  <si>
    <t>신미영 ;양희정 지음</t>
  </si>
  <si>
    <t>디지털북스</t>
  </si>
  <si>
    <t>JD0000023833</t>
  </si>
  <si>
    <t>(눈이 즐거워지는) 액세스 2010</t>
  </si>
  <si>
    <t>이정휘 저</t>
  </si>
  <si>
    <t>영진닷컴</t>
  </si>
  <si>
    <t>JD0000023834</t>
  </si>
  <si>
    <t>도서관산책자  : 두 책벌레 건축가가 함께 걷고 기록한, 책의 집 이야기</t>
  </si>
  <si>
    <t>강예린 ;이치훈 지음</t>
  </si>
  <si>
    <t>JD0000023835</t>
  </si>
  <si>
    <t>(마녀의) 연쇄 독서  : 꼬리에 꼬리를 무는 책들의 연쇄</t>
  </si>
  <si>
    <t>김이경 지음</t>
  </si>
  <si>
    <t>JD0000023836</t>
  </si>
  <si>
    <t>막걸리 이야기</t>
  </si>
  <si>
    <t>정은숙 지음</t>
  </si>
  <si>
    <t>JD0000023837</t>
  </si>
  <si>
    <t>매트랩 프로그래밍  = Matlab programmimg</t>
  </si>
  <si>
    <t>최진탁 ;노순효 ;임석진 지음</t>
  </si>
  <si>
    <t>JD0000023838</t>
  </si>
  <si>
    <t>HTML5 Cookbook  : 자바스크립트 API 로컬 저장소 접근성 지오로케이션</t>
  </si>
  <si>
    <t>크리스토퍼 슈미트 ;카일 심슨 지음 ;한선용 옮김</t>
  </si>
  <si>
    <t>JD0000023839</t>
  </si>
  <si>
    <t>반응형 웹디자인</t>
  </si>
  <si>
    <t>에단 마콧 지음 ;박지연 ;웹엑츄얼리팀 옮김</t>
  </si>
  <si>
    <t>웹액츄얼리코리아</t>
  </si>
  <si>
    <t>JD0000023840</t>
  </si>
  <si>
    <t>북아트 &amp; 북바인딩  = Book art &amp; bookbinding  : 쌤쌤의 책 만드는 날</t>
  </si>
  <si>
    <t>서효정 지음</t>
  </si>
  <si>
    <t>JD0000023841</t>
  </si>
  <si>
    <t>빅데이터와 SNS 시대의 소셜 경험 전략  : 서비스와 제품의 경쟁력을 높이는 비즈니스 큐레이션</t>
  </si>
  <si>
    <t>배성환 ;김동환 ;곽인호 ;송용근 지음</t>
  </si>
  <si>
    <t>JD0000023842</t>
  </si>
  <si>
    <t>(생각보다 쉽네요!) 드림위버로 앱 만들기</t>
  </si>
  <si>
    <t>이문형 지음</t>
  </si>
  <si>
    <t>JD0000023843</t>
  </si>
  <si>
    <t>손에 잡히는 MAX 6  : Max/MSP/Jitter/아두이노 기초부터 비디오 트래킹까지</t>
  </si>
  <si>
    <t>조이수</t>
  </si>
  <si>
    <t>인사이트</t>
  </si>
  <si>
    <t>JD0000023844</t>
  </si>
  <si>
    <t>손에 잡히는 아두이노</t>
  </si>
  <si>
    <t>마시모 밴지 지음 ;이호민 옮김</t>
  </si>
  <si>
    <t>JD0000023845</t>
  </si>
  <si>
    <t>스마트 IT, 스마트 혁명</t>
  </si>
  <si>
    <t>정지훈 지음</t>
  </si>
  <si>
    <t>JD0000023846</t>
  </si>
  <si>
    <t>엑셀 2010  : 스스로 마스터하는 트레이닝 북</t>
  </si>
  <si>
    <t>김지연 지음</t>
  </si>
  <si>
    <t>BM 성안당</t>
  </si>
  <si>
    <t>JD0000023847</t>
  </si>
  <si>
    <t>파워포인트 2010  : 스스로 마스터하는 트레이닝 북</t>
  </si>
  <si>
    <t>한유미 저</t>
  </si>
  <si>
    <t>JD0000023848</t>
  </si>
  <si>
    <t>스토리로 이해하는 UX 디자인 프로세스  : 18가지 프로젝트 상황으로 만나는 실전 UX가이드</t>
  </si>
  <si>
    <t>다음 커뮤니케이션 UX랩 &amp; 마켓인사이트팀 지음</t>
  </si>
  <si>
    <t>로드북</t>
  </si>
  <si>
    <t>JD0000023849</t>
  </si>
  <si>
    <t>안드로이드 NDK 네이티브 프로그래밍  = Android NDK native programming</t>
  </si>
  <si>
    <t>데무라 나리카즈 지음 ;이해란 옮김</t>
  </si>
  <si>
    <t>JD0000023850</t>
  </si>
  <si>
    <t>엑셀 매크로 VBA 바이블</t>
  </si>
  <si>
    <t>최준선 지음</t>
  </si>
  <si>
    <t>JD0000023851</t>
  </si>
  <si>
    <t>엑셀 실무 바이블  = Excel business practice bible  : 엑셀 2007, 2010 버전 공용</t>
  </si>
  <si>
    <t>박미정 지음</t>
  </si>
  <si>
    <t>JD0000023852</t>
  </si>
  <si>
    <t>와이어샤크를 활용한 실전 패킷 분석  : 시나리오에 따른 상황별 해킹 탐지와 네트워크 모니터링</t>
  </si>
  <si>
    <t>크리스 샌더즈 지음 ;김경곤 ;장은경 옮김</t>
  </si>
  <si>
    <t>JD0000023853</t>
  </si>
  <si>
    <t>운영체제개론  = (An) introduction to the operating system</t>
  </si>
  <si>
    <t>김대영 ;이선근 공저</t>
  </si>
  <si>
    <t>공학교육사</t>
  </si>
  <si>
    <t>JD0000023854</t>
  </si>
  <si>
    <t>워드프레스 통달하기  = OpenWeb. 1 :, 기초편</t>
  </si>
  <si>
    <t>이두진 지음</t>
  </si>
  <si>
    <t>pc book</t>
  </si>
  <si>
    <t>JD0000023855</t>
  </si>
  <si>
    <t>(Beginning) 워드프레스로 홈페이지·블로그 만들기</t>
  </si>
  <si>
    <t>황홍식 ;유진희 ;최재영 지음</t>
  </si>
  <si>
    <t>앤써북</t>
  </si>
  <si>
    <t>JD0000023856</t>
  </si>
  <si>
    <t>웹사이트를 위한 콘텐츠 전략</t>
  </si>
  <si>
    <t>에린 키산 지음 ;강유선 옮김</t>
  </si>
  <si>
    <t>JD0000023857</t>
  </si>
  <si>
    <t>인문의 바다에 빠져라</t>
  </si>
  <si>
    <t>최진기 지음</t>
  </si>
  <si>
    <t>스마트북스</t>
  </si>
  <si>
    <t>JD0000023858</t>
  </si>
  <si>
    <t>책을 읽어야 하는 10가지 이유</t>
  </si>
  <si>
    <t>북포스</t>
  </si>
  <si>
    <t>JD0000023859</t>
  </si>
  <si>
    <t>(내 아이의 미래를 바꾸는) 일독백서 기적의 독서법</t>
  </si>
  <si>
    <t>이인환 지음</t>
  </si>
  <si>
    <t>미다스북스</t>
  </si>
  <si>
    <t>JD0000023860</t>
  </si>
  <si>
    <t>(작업의 효율을 높이는) 일러스트레이터 디자인 테크닉  : 기초부터 고급까지! 실무에 유용한 테크닉 150개</t>
  </si>
  <si>
    <t>이복순 지음</t>
  </si>
  <si>
    <t>제우미디어</t>
  </si>
  <si>
    <t>JD0000023861</t>
  </si>
  <si>
    <t>(자녀의 독서를 고민하는) 엄마들의 책</t>
  </si>
  <si>
    <t>JD0000023862</t>
  </si>
  <si>
    <t>잡스처럼 기획하고 키노트로 완성하라  : 10년 후에도 변하지 않을 프레젠테이션의 정석</t>
  </si>
  <si>
    <t>이상훈 지음</t>
  </si>
  <si>
    <t>멘토르</t>
  </si>
  <si>
    <t>JD0000023863</t>
  </si>
  <si>
    <t>(직장인을 위한)실무 엑셀 문서</t>
  </si>
  <si>
    <t>공병훈 ;김민철 ;차현우 지음</t>
  </si>
  <si>
    <t xml:space="preserve"> 길벗</t>
  </si>
  <si>
    <t>JD0000023864</t>
  </si>
  <si>
    <t>철학교수님이 알려주는 공부법</t>
  </si>
  <si>
    <t>나이절 워버턴 지음 ;박수철 옮김</t>
  </si>
  <si>
    <t>知와 사랑</t>
  </si>
  <si>
    <t>JD0000023865</t>
  </si>
  <si>
    <t>책으로 노는 집  : 책으로 대화하고 소통하는 독서 가족 탐방기</t>
  </si>
  <si>
    <t>김청연 ;최화진 지음</t>
  </si>
  <si>
    <t>푸른지식</t>
  </si>
  <si>
    <t>JD0000023866</t>
  </si>
  <si>
    <t>(초등 독서 전도사 심영면 교장 선생님이 알려주는) 초등 독서의 모든 것</t>
  </si>
  <si>
    <t>심영면 지음</t>
  </si>
  <si>
    <t>꿈결</t>
  </si>
  <si>
    <t>JD0000023867</t>
  </si>
  <si>
    <t>출판 디자인 실무노트  = Design Practice Notes For Publication</t>
  </si>
  <si>
    <t>김은경 지음</t>
  </si>
  <si>
    <t>투데이북스</t>
  </si>
  <si>
    <t>JD0000023868</t>
  </si>
  <si>
    <t>코딩 인터뷰 완전 분석  : 150가지 프로그래밍 문제와 해법</t>
  </si>
  <si>
    <t>게일 라크만 맥도웰 지음 ;이병준 옮김</t>
  </si>
  <si>
    <t>JD0000023869</t>
  </si>
  <si>
    <t>엑셀 2010</t>
  </si>
  <si>
    <t>김소영 저</t>
  </si>
  <si>
    <t>렉스미디어닷넷</t>
  </si>
  <si>
    <t>JD0000023870</t>
  </si>
  <si>
    <t>희망, 인문학에게 묻다  : 대한민국 업그레이드를 위한 신동기의 인문학주장</t>
  </si>
  <si>
    <t>신동기 지음</t>
  </si>
  <si>
    <t>JD0000023871</t>
  </si>
  <si>
    <t>팟캐스트 &amp; 유튜브 실전 제작법  = Making podcasts &amp; youtube videos  : 세상에 너를 알려라!</t>
  </si>
  <si>
    <t>한지환 지음</t>
  </si>
  <si>
    <t>JD0000023872</t>
  </si>
  <si>
    <t>퍼펙트 엑셀 2010  = All about excel 2010 programs  : 엑셀의 거의 모든 기능</t>
  </si>
  <si>
    <t>윤신례 저</t>
  </si>
  <si>
    <t>JD0000023873</t>
  </si>
  <si>
    <t>(펼치면 마법처럼 완성되는) 포토샵 CS6</t>
  </si>
  <si>
    <t>이수미 지음</t>
  </si>
  <si>
    <t>JD0000023874</t>
  </si>
  <si>
    <t>프로그래머로 사는 법  : 프로그래머의 길을 걸어가는 당신을 위한 안내서</t>
  </si>
  <si>
    <t>샘 라이트스톤 지음 ;서환수 옮김</t>
  </si>
  <si>
    <t>JD0000023875</t>
  </si>
  <si>
    <t>프리젠테이션 디자인 테크닉 100</t>
  </si>
  <si>
    <t>이중구 지음</t>
  </si>
  <si>
    <t>JD0000023876</t>
  </si>
  <si>
    <t>한권의 책을 위하여  : 한 인문주의자의 책 만들기 함께 탐험하는 책의 유토피아</t>
  </si>
  <si>
    <t>김언호 지음</t>
  </si>
  <si>
    <t>JD0000023877</t>
  </si>
  <si>
    <t>한비야, 그녀의 서재를 탐하다  = Han BIya Library</t>
  </si>
  <si>
    <t>김정희 지음</t>
  </si>
  <si>
    <t>북씽크</t>
  </si>
  <si>
    <t>JD0000023878</t>
  </si>
  <si>
    <t>고미숙의 몸과 인문학 : 동의보감의 눈으로 세상을 보다</t>
  </si>
  <si>
    <t>고미숙 지음</t>
  </si>
  <si>
    <t>북드라망</t>
  </si>
  <si>
    <t>JD0000023879</t>
  </si>
  <si>
    <t>(아이폰 개발을 시작하는 초보자를 위한) 5일 만에 아이폰 앱 개발하기 : 한국어판</t>
  </si>
  <si>
    <t>닉 쿠 지음;유윤선 옮김</t>
  </si>
  <si>
    <t>JD0000023880</t>
  </si>
  <si>
    <t>공부하는 삶 : 배우고 익히는 사람에게 필요한 모든 지식</t>
  </si>
  <si>
    <t>앙토냉 질베르 세르티양주 지음;이재만 옮김</t>
  </si>
  <si>
    <t>유유</t>
  </si>
  <si>
    <t>JD0000023881</t>
  </si>
  <si>
    <t>그 책, 있어요?</t>
  </si>
  <si>
    <t>나승현;김솔;몽몽일 지음</t>
  </si>
  <si>
    <t>포북</t>
  </si>
  <si>
    <t>JD0000023882</t>
  </si>
  <si>
    <t>(어니스트 헤밍웨이의) 노인과 바다를 다시 읽다</t>
  </si>
  <si>
    <t>김욱동 지음</t>
  </si>
  <si>
    <t>JD0000023883</t>
  </si>
  <si>
    <t>도서관의 탄생 : 문명의 기록과 인간의 역사</t>
  </si>
  <si>
    <t>스튜어트 A.P. 머레이 지음;윤영애 옮김</t>
  </si>
  <si>
    <t>예경</t>
  </si>
  <si>
    <t>JD0000023884</t>
  </si>
  <si>
    <t>디지털 콘텐츠 퍼블리싱</t>
  </si>
  <si>
    <t>이경훈 지음</t>
  </si>
  <si>
    <t>한국출판마케팅연구소</t>
  </si>
  <si>
    <t>JD0000023885</t>
  </si>
  <si>
    <t>디지털에 홀리다 : 디지털/스마트 혁명, 과연 삶의 혁명인가? 아니면 삶의 붕괴인가?</t>
  </si>
  <si>
    <t>이재용 지음</t>
  </si>
  <si>
    <t>예영커뮤니케이션</t>
  </si>
  <si>
    <t>JD0000023886</t>
  </si>
  <si>
    <t>명작독서 명품인생 : 내 이름 석자가 최고의 브랜드가 되는 삶</t>
  </si>
  <si>
    <t>이상욱 지음</t>
  </si>
  <si>
    <t>JD0000023887</t>
  </si>
  <si>
    <t>문헌정보학이란 무엇인가 = Library &amp; information science guide</t>
  </si>
  <si>
    <t>이종권 지음</t>
  </si>
  <si>
    <t>조은글터</t>
  </si>
  <si>
    <t>JD0000023888</t>
  </si>
  <si>
    <t>미국을 만든 책 25 : 어떻게 하얀 고래, 콩코드 호숫가, 피곤한 블루스는 미국의 정신을 형성했는가</t>
  </si>
  <si>
    <t>토마스 C. 포스터 지음;이종인 옮김</t>
  </si>
  <si>
    <t>JD0000023889</t>
  </si>
  <si>
    <t>박원순의 서재 : 박원순, 책에서 더불어 사는 삶을 찾다</t>
  </si>
  <si>
    <t>권안 지음</t>
  </si>
  <si>
    <t>푸른영토</t>
  </si>
  <si>
    <t>JD0000023890</t>
  </si>
  <si>
    <t>블로그 활용백서 : 컴퓨터 활용의 모든것</t>
  </si>
  <si>
    <t>김수정;김혜성;신영경 지음</t>
  </si>
  <si>
    <t>에듀크라운</t>
  </si>
  <si>
    <t>JD0000023891</t>
  </si>
  <si>
    <t>세상 모든 책장 : 애서가의 꿈, 세상에 없는 나만의 서재 만들기</t>
  </si>
  <si>
    <t>알렉스 존슨 지음;김미란 옮김</t>
  </si>
  <si>
    <t>JD0000023892</t>
  </si>
  <si>
    <t>세상을 담은 밥 한 그릇</t>
  </si>
  <si>
    <t>주영하 [외] 지음</t>
  </si>
  <si>
    <t>궁리출판</t>
  </si>
  <si>
    <t>JD0000023893</t>
  </si>
  <si>
    <t>싸우는 인문학 : 한국 인문학의 최전선</t>
  </si>
  <si>
    <t>강양구 [외] 지음</t>
  </si>
  <si>
    <t>JD0000023894</t>
  </si>
  <si>
    <t>알파레이디 북토크</t>
  </si>
  <si>
    <t>경향신문 인터랙티브 팀 엮음</t>
  </si>
  <si>
    <t>JD0000023895</t>
  </si>
  <si>
    <t>어느 독서광의 유쾌한 책 읽기</t>
  </si>
  <si>
    <t>김의기 지음</t>
  </si>
  <si>
    <t>다른세상</t>
  </si>
  <si>
    <t>JD0000023896</t>
  </si>
  <si>
    <t>(엄마와 함께한) 마지막 북클럽</t>
  </si>
  <si>
    <t>윌 슈발브 지음;전행선 옮김</t>
  </si>
  <si>
    <t>북이십일 21세기북스</t>
  </si>
  <si>
    <t>JD0000023897</t>
  </si>
  <si>
    <t>(엄마표) 도서관 여행 : 하루 동안의 행복! 도서관에서 꿈꾸는 아이!</t>
  </si>
  <si>
    <t>이윤나 지음</t>
  </si>
  <si>
    <t>JD0000023898</t>
  </si>
  <si>
    <t>중국 출판문화사</t>
  </si>
  <si>
    <t>이노우에 스스무 지음;이동철;장원철;이정희 옮김</t>
  </si>
  <si>
    <t>JD0000023899</t>
  </si>
  <si>
    <t>활동 중심 독서 지도</t>
  </si>
  <si>
    <t>지은이: 천경록;백해경;진명숙;양서영;고지용</t>
  </si>
  <si>
    <t>교육과학사</t>
  </si>
  <si>
    <t>JD0000023900</t>
  </si>
  <si>
    <t>감사의 습관 : 희망을 잃은 한 사람의 인생을 바꿔놓은 감동 실화</t>
  </si>
  <si>
    <t>존 크랠릭 지음;차동엽 옮김</t>
  </si>
  <si>
    <t>한국경제신문 한경BP</t>
  </si>
  <si>
    <t>JD0000023901</t>
  </si>
  <si>
    <t>그대는 그대가 가야 할 길을 알고 있는가</t>
  </si>
  <si>
    <t>선묵혜자 지음</t>
  </si>
  <si>
    <t>아침단청</t>
  </si>
  <si>
    <t>JD0000023902</t>
  </si>
  <si>
    <t>꿈을 굽다 : 정태규 산문집</t>
  </si>
  <si>
    <t>지은이: 정태규</t>
  </si>
  <si>
    <t>산지니</t>
  </si>
  <si>
    <t>JD0000023903</t>
  </si>
  <si>
    <t>나 자신과의 대화 : 넬슨 만델라 최후의 자서전</t>
  </si>
  <si>
    <t>넬슨 만델라 지음;윤길순 옮김</t>
  </si>
  <si>
    <t>랜덤하우스코리아</t>
  </si>
  <si>
    <t>JD0000023904</t>
  </si>
  <si>
    <t>나는 왜 일보다 사람이 힘들까</t>
  </si>
  <si>
    <t>조범상 지음</t>
  </si>
  <si>
    <t>알키(시공사)</t>
  </si>
  <si>
    <t>JD0000023905</t>
  </si>
  <si>
    <t>나는 죽을 때까지 재미있게 살고 싶다 : 멋지게 나이 들고 싶은 사람들을 위한 인생의 기술 53</t>
  </si>
  <si>
    <t>이근후 지음</t>
  </si>
  <si>
    <t>JD0000023906</t>
  </si>
  <si>
    <t>나를 살리는 말 : 어려울 때 도움이 되는 격려의 말, 지혜의 말</t>
  </si>
  <si>
    <t>하레사쿠 마사히데 지음;신병철 옮김</t>
  </si>
  <si>
    <t>가톨릭</t>
  </si>
  <si>
    <t>JD0000023907</t>
  </si>
  <si>
    <t>나에 대하여 : 探我八考 읽어버린 나를 찾기 위한 8가지 고찰, 자유와 탄생편</t>
  </si>
  <si>
    <t>김유정 지음</t>
  </si>
  <si>
    <t>자유정신사</t>
  </si>
  <si>
    <t>JD0000023908</t>
  </si>
  <si>
    <t>나와 같다고 옳고, 다르면 그른 것인가 : 이지누의 폐사지 답사기, 충청편</t>
  </si>
  <si>
    <t>글·사진: 이지누</t>
  </si>
  <si>
    <t>JD0000023909</t>
  </si>
  <si>
    <t>내 마음은 답을 알고 있다</t>
  </si>
  <si>
    <t>페트라 복 지음;김세나 옮김</t>
  </si>
  <si>
    <t>JD0000023910</t>
  </si>
  <si>
    <t>내 마음이 도대체 왜 이럴까 : 마음을 다스리면 행복은 저절로 온다!</t>
  </si>
  <si>
    <t>이현주 지음</t>
  </si>
  <si>
    <t>원앤원북스</t>
  </si>
  <si>
    <t>JD0000023911</t>
  </si>
  <si>
    <t>내 인생에 용기가 되어준 한마디</t>
  </si>
  <si>
    <t>정호승 지음</t>
  </si>
  <si>
    <t>JD0000023912</t>
  </si>
  <si>
    <t>너는 늦게 피는 꽃이다 : 우리 교육의 마지막 비상구 '돈보스코 예방교육}</t>
  </si>
  <si>
    <t>김인숙 지음</t>
  </si>
  <si>
    <t>JD0000023913</t>
  </si>
  <si>
    <t>누구나 홀로 죽는다 : 한스팔라다 장편소설</t>
  </si>
  <si>
    <t>한스팔라다 지음;이수연 옮김</t>
  </si>
  <si>
    <t>시네21북스</t>
  </si>
  <si>
    <t>JD0000023914</t>
  </si>
  <si>
    <t>눈치 보는 나, 착각 하는 너 : 나보다 타인이 더 신경 쓰이는 사람들</t>
  </si>
  <si>
    <t>박진영 지음</t>
  </si>
  <si>
    <t>JD0000023915</t>
  </si>
  <si>
    <t>느껴야 움직인다</t>
  </si>
  <si>
    <t>이어령;오순환</t>
  </si>
  <si>
    <t>시공미디어</t>
  </si>
  <si>
    <t>JD0000023916</t>
  </si>
  <si>
    <t>당신의 이성을 마비시키는 그럴듯한 착각들 : 착각 뒤에 숨은 진짜 나를 발견하는 기발한 심리실험 20</t>
  </si>
  <si>
    <t>실뱅 들루베 지음;니콜라스 베디 그림;문신원 옮김</t>
  </si>
  <si>
    <t>지식채널(시공사)</t>
  </si>
  <si>
    <t>JD0000023917</t>
  </si>
  <si>
    <t>대체 뭐가 문제야 : 문제 해결을 위한 창의적 사고를 길러주는 6가지 질문</t>
  </si>
  <si>
    <t>도널드 고즈 지음;제랄드 와인버그 [공]지음;김준식 옮김</t>
  </si>
  <si>
    <t>JD0000023918</t>
  </si>
  <si>
    <t>로또보다 풍수 : 안되는 확률에 목숨거느니 되는 확률에 내 운을 맡겨라!</t>
  </si>
  <si>
    <t>박상근 지음</t>
  </si>
  <si>
    <t>JD0000023919</t>
  </si>
  <si>
    <t>(마음에 새기는) 명품 명언 = Luxury sayings inscribed on the mind</t>
  </si>
  <si>
    <t>김옥림 지음</t>
  </si>
  <si>
    <t>미래북</t>
  </si>
  <si>
    <t>JD0000023920</t>
  </si>
  <si>
    <t>마음은 어떻게 오작동하는가 : 근심걱정 솎아내는 하루 10분 마음훈련</t>
  </si>
  <si>
    <t>카루나 케이턴 지음;박은영</t>
  </si>
  <si>
    <t>북돋움(오토북스)</t>
  </si>
  <si>
    <t>JD0000023921</t>
  </si>
  <si>
    <t>(마음을 행복으로 단련시키는) 마음담금질 : 127가지 마음대화 모음집</t>
  </si>
  <si>
    <t>박재항 지음</t>
  </si>
  <si>
    <t>보민출판사</t>
  </si>
  <si>
    <t>JD0000023922</t>
  </si>
  <si>
    <t>마흔, 버려야 할 것과 붙잡아야 할 것들 : '언덕 위의 언덕'을 준비하는 55가지 방법</t>
  </si>
  <si>
    <t>후지와라 가즈히로 지음;김정환 옮김</t>
  </si>
  <si>
    <t>JD0000023923</t>
  </si>
  <si>
    <t>무엇이 개인을 이렇게 만드는가?</t>
  </si>
  <si>
    <t>칼 구스타프 융 지음;김세영 옮김</t>
  </si>
  <si>
    <t>부글북스</t>
  </si>
  <si>
    <t>JD0000023924</t>
  </si>
  <si>
    <t>불혹, 세상에 혹하지 아니하리라 : 마흔에 다시 읽는 동양고전 에세이</t>
  </si>
  <si>
    <t>신정근 지음</t>
  </si>
  <si>
    <t>JD0000023925</t>
  </si>
  <si>
    <t>새로운 무의식 : 정신분석에서 뇌과학으로</t>
  </si>
  <si>
    <t>레오나르드 믈로디노프 지음;김명남 옮김</t>
  </si>
  <si>
    <t>까치글방</t>
  </si>
  <si>
    <t>JD0000023926</t>
  </si>
  <si>
    <t>손을 맞잡으면 따스하다</t>
  </si>
  <si>
    <t>야마모토 카츠코 지음;유가영 옮김</t>
  </si>
  <si>
    <t>매일경제신문사</t>
  </si>
  <si>
    <t>JD0000023927</t>
  </si>
  <si>
    <t>스물아홉, 벼랑끝에서 행복을 찾다</t>
  </si>
  <si>
    <t>아오야마 하나코 지음;선우 옮김</t>
  </si>
  <si>
    <t>대원씨아이</t>
  </si>
  <si>
    <t>JD0000023928</t>
  </si>
  <si>
    <t>아시시, 영혼에 위로가 필요하다면 : 성자의 마을 아시시 순례기</t>
  </si>
  <si>
    <t>홍솔 글;전화식 사진</t>
  </si>
  <si>
    <t>고즈윈</t>
  </si>
  <si>
    <t>JD0000023929</t>
  </si>
  <si>
    <t>악의 사슬 : 리 차일드 장편소설</t>
  </si>
  <si>
    <t>리 차일드 지음;정경호 옮김</t>
  </si>
  <si>
    <t>JD0000023930</t>
  </si>
  <si>
    <t>어느 날 당신도 깨닫게 될 이야기 : 내 인생을 바꾼 성찰의 순간들</t>
  </si>
  <si>
    <t>엘리자베스 길버트;A. J. 제이콥스;제니퍼 이건 [등] 지음;래리 스미스 편집;박지니;이지연</t>
  </si>
  <si>
    <t>라이팅하우스</t>
  </si>
  <si>
    <t>JD0000023931</t>
  </si>
  <si>
    <t>(어른을 위한) 그림 동화 심리 읽기 : 재투성이에서 라푼첼까지 심층심리학으로 들여다본 여성 심리의 비밀</t>
  </si>
  <si>
    <t>지은이: 오이겐 드레버만;옮긴이: 김태희</t>
  </si>
  <si>
    <t>교양인</t>
  </si>
  <si>
    <t>JD0000023932</t>
  </si>
  <si>
    <t>역사상 가장 위대한 발명 150</t>
  </si>
  <si>
    <t>미셸 리발 지음;강주헌 옮김</t>
  </si>
  <si>
    <t>JD0000023933</t>
  </si>
  <si>
    <t>왕멍의 쾌활한 장자읽기</t>
  </si>
  <si>
    <t>왕멍 지음;허유영 옮김</t>
  </si>
  <si>
    <t>JD0000023934</t>
  </si>
  <si>
    <t>우리가 일상에서 부딪히는 철학적 질문들</t>
  </si>
  <si>
    <t>앤서니 그레일링 지음;윤길순 옮김</t>
  </si>
  <si>
    <t>블루엘리펀트(동아일보사)</t>
  </si>
  <si>
    <t>JD0000023935</t>
  </si>
  <si>
    <t>우리는 어떻게 바뀌고 있는가 : 지식의 미래에서 보내온 세계 최고 석학들의 경고와 전망</t>
  </si>
  <si>
    <t>존 브록만 엮음;최완규 옮김</t>
  </si>
  <si>
    <t>한국물가정보</t>
  </si>
  <si>
    <t>JD0000023936</t>
  </si>
  <si>
    <t>이웃집 사기꾼 : 높은 지능과 낮은 도덕성을 가진 얄미운 그들의 속마음</t>
  </si>
  <si>
    <t>스텐 티 키틀;크리스티안 제렌트 지음;류동수 옮김</t>
  </si>
  <si>
    <t>비전피앤피·애플북스</t>
  </si>
  <si>
    <t>JD0000023937</t>
  </si>
  <si>
    <t>이젠, 다르게 살아야 한다 : 이시형 박사의 산에서 배운 지혜</t>
  </si>
  <si>
    <t>이시형 지음</t>
  </si>
  <si>
    <t>이지북</t>
  </si>
  <si>
    <t>JD0000023938</t>
  </si>
  <si>
    <t>절망을 걷고 있는 여행자 : 알 수 없는 운명은 더 아름답다</t>
  </si>
  <si>
    <t>미니 글;김석화 사진</t>
  </si>
  <si>
    <t>스마트북</t>
  </si>
  <si>
    <t>JD0000023939</t>
  </si>
  <si>
    <t>죽을 때까지 삶에서 놓지 말아야 할 것들 : 인류학자가 지혜로운 이들에게 물은 삶의 원칙</t>
  </si>
  <si>
    <t>메리 캐서린 베이트슨 지음;안진이 옮김</t>
  </si>
  <si>
    <t>청림출판</t>
  </si>
  <si>
    <t>JD0000023940</t>
  </si>
  <si>
    <t>지나고 나면 아무것도 아닌 일들</t>
  </si>
  <si>
    <t>지은이: 마크 피셔;옮긴이: 서희정</t>
  </si>
  <si>
    <t>토트·북새통</t>
  </si>
  <si>
    <t>JD0000023941</t>
  </si>
  <si>
    <t>진보의 몰락 : 누가 진보를 죽였는가</t>
  </si>
  <si>
    <t>크리스 헤지스 지음;노정태 옮김</t>
  </si>
  <si>
    <t>프런티어</t>
  </si>
  <si>
    <t>JD0000023942</t>
  </si>
  <si>
    <t>진선미 : 되살려야 할 인간의 가치</t>
  </si>
  <si>
    <t>하워드 가드너 지음;김한영</t>
  </si>
  <si>
    <t>북스넛</t>
  </si>
  <si>
    <t>JD0000023943</t>
  </si>
  <si>
    <t>(청소년을 위한) 인문학 레시피 = (A) recipe for humanities</t>
  </si>
  <si>
    <t>김경윤 지음;최정규 그림</t>
  </si>
  <si>
    <t>삶창</t>
  </si>
  <si>
    <t>JD0000023944</t>
  </si>
  <si>
    <t>촘스키 知의 향연 : 촘스키 저작 선집</t>
  </si>
  <si>
    <t>노엄 촘스키 지음;앤서니 아노브 엮음;이종인 옮김</t>
  </si>
  <si>
    <t>시대의창</t>
  </si>
  <si>
    <t>JD0000023945</t>
  </si>
  <si>
    <t>통섭적 인생의 권유 : 최재천 교수가 제안하는 희망 어젠다</t>
  </si>
  <si>
    <t>JD0000023946</t>
  </si>
  <si>
    <t>포기하지 마라, 한 번뿐인 인생이다 : 당신의 인생을 변화시킬 지그 지글러의 긍정 메세지</t>
  </si>
  <si>
    <t>지그 지글러 지음;박상혁 옮김</t>
  </si>
  <si>
    <t>큰나무</t>
  </si>
  <si>
    <t>JD0000023947</t>
  </si>
  <si>
    <t>풍수란 무엇인가 : 풍수, 그 구라의 역사</t>
  </si>
  <si>
    <t>이화 지음</t>
  </si>
  <si>
    <t>JD0000023948</t>
  </si>
  <si>
    <t>(하루를 살더라도) 내 인생을 살아라</t>
  </si>
  <si>
    <t>세프라 코브린 피첼 지음;김은정 [옮김]</t>
  </si>
  <si>
    <t>동해출판</t>
  </si>
  <si>
    <t>JD0000023949</t>
  </si>
  <si>
    <t>JD0000023950</t>
  </si>
  <si>
    <t>하우 투 비 굿</t>
  </si>
  <si>
    <t>닉 혼비 지음;김선형</t>
  </si>
  <si>
    <t>문학사상사</t>
  </si>
  <si>
    <t>JD0000023951</t>
  </si>
  <si>
    <t>한국 철학 콘서트</t>
  </si>
  <si>
    <t>홍승기 지음</t>
  </si>
  <si>
    <t>JD0000023952</t>
  </si>
  <si>
    <t>흔들림 또한 우리가 살아가는 한 모습이다 : 힐링스토리..잠시 멈춰도 바라볼 수 있다면</t>
  </si>
  <si>
    <t>이원준 구성</t>
  </si>
  <si>
    <t>이가출판사</t>
  </si>
  <si>
    <t>JD0000023953</t>
  </si>
  <si>
    <t>희망을 걷다 : 박원순의 백두대간 종주기</t>
  </si>
  <si>
    <t>박원순 지음</t>
  </si>
  <si>
    <t>하루헌</t>
  </si>
  <si>
    <t>JD0000023954</t>
  </si>
  <si>
    <t>히치하이커의 철학여행 : 근현대 철학의 영토를 여행하는 히치하이커를 위한 안내서</t>
  </si>
  <si>
    <t>이진경 지음</t>
  </si>
  <si>
    <t>휴머니스트 출판그룹</t>
  </si>
  <si>
    <t>JD0000023955</t>
  </si>
  <si>
    <t>경전으로 시작하는 불교 : 불교를 공부하기 위해 알아야 할 교리와 경전에 관한 최소한의 지식</t>
  </si>
  <si>
    <t>글: 지안</t>
  </si>
  <si>
    <t>조계종출판사</t>
  </si>
  <si>
    <t>JD0000023956</t>
  </si>
  <si>
    <t>과학과 종교 과연 무엇이 다른가 = Science &amp; Religion</t>
  </si>
  <si>
    <t>알리스터 맥그래스 지음;정성희;김주혁 옮김</t>
  </si>
  <si>
    <t>린</t>
  </si>
  <si>
    <t>JD0000023957</t>
  </si>
  <si>
    <t>금강경 공부하기</t>
  </si>
  <si>
    <t>정천구 지음</t>
  </si>
  <si>
    <t>혜명</t>
  </si>
  <si>
    <t>JD0000023958</t>
  </si>
  <si>
    <t>김수환 추기경 111展 : 서로 사랑하세요</t>
  </si>
  <si>
    <t>김경상 [외] 지음</t>
  </si>
  <si>
    <t>작가와 비평</t>
  </si>
  <si>
    <t>JD0000023959</t>
  </si>
  <si>
    <t>날마다 생각한 하느님 : 사제 수품 30주년 기념 묵상집</t>
  </si>
  <si>
    <t>조규만 지음</t>
  </si>
  <si>
    <t>JD0000023960</t>
  </si>
  <si>
    <t>(당신을 향한) 하나님의 러브레터 : 40일간 만나는 하나님의 말씀</t>
  </si>
  <si>
    <t>지은이: 래리 크랩;옮긴이: 김성녀</t>
  </si>
  <si>
    <t>한국기독학생회출판부</t>
  </si>
  <si>
    <t>JD0000023961</t>
  </si>
  <si>
    <t>독신 탈출 결혼 정복 : 이제 하나님이 예비하신 나의 짝을 만나고 싶다</t>
  </si>
  <si>
    <t>박수웅 지음</t>
  </si>
  <si>
    <t>JD0000023962</t>
  </si>
  <si>
    <t>동학·천도교의 어제와 오늘</t>
  </si>
  <si>
    <t>윤석산 지음</t>
  </si>
  <si>
    <t>한양대학교 출판부</t>
  </si>
  <si>
    <t>JD0000023963</t>
  </si>
  <si>
    <t>리더는 무엇으로 사는가 : 영적 리더를 위한 내면 세계 건축법</t>
  </si>
  <si>
    <t>고든 맥도날드 지음;김명희 옮김</t>
  </si>
  <si>
    <t>IVP</t>
  </si>
  <si>
    <t>JD0000023964</t>
  </si>
  <si>
    <t>마더 데레사 111展 : 위로의 샘</t>
  </si>
  <si>
    <t>지은이: 김경상 外</t>
  </si>
  <si>
    <t>JD0000023965</t>
  </si>
  <si>
    <t>(성서에서 만나는) 다문화 이야기</t>
  </si>
  <si>
    <t>김혜란 지음;최은영 공저</t>
  </si>
  <si>
    <t>JD0000023966</t>
  </si>
  <si>
    <t>세상을 욕망하는 경건한 신자들 : 경건과 욕망 사이</t>
  </si>
  <si>
    <t>백소영 지음</t>
  </si>
  <si>
    <t>그린비출판사</t>
  </si>
  <si>
    <t>JD0000023967</t>
  </si>
  <si>
    <t>힐링 갓 : 하나님과 함께하는 치유 여행 = Healing God</t>
  </si>
  <si>
    <t>이규현 지음</t>
  </si>
  <si>
    <t>JD0000023968</t>
  </si>
  <si>
    <t>몸과 마음이 행복한 펜션 부자들 : 1억으로 평생월급 보장받는 펜션이 답이다</t>
  </si>
  <si>
    <t>지은이: 구선영</t>
  </si>
  <si>
    <t>JD0000023969</t>
  </si>
  <si>
    <t>성공의 뿌리 오리진 : 운명을 바꾼 1%만이 알았던 인생 키워드 100</t>
  </si>
  <si>
    <t>김상용;김성윤 [공]지음</t>
  </si>
  <si>
    <t>라온북</t>
  </si>
  <si>
    <t>JD0000023970</t>
  </si>
  <si>
    <t>세상에서 제일 쉬운 만화 경제학 : 애덤 스미스부터 밀턴 프리드먼까지! 인물로 배우는 경제 입문서</t>
  </si>
  <si>
    <t>조립식 지음;조윤형 지음</t>
  </si>
  <si>
    <t>JD0000023971</t>
  </si>
  <si>
    <t>(어릴 때 키워야 평생가는) 아이의 독서력 1~2학년</t>
  </si>
  <si>
    <t>신운선;강애띠 지음</t>
  </si>
  <si>
    <t>바다출판사</t>
  </si>
  <si>
    <t>JD0000023972</t>
  </si>
  <si>
    <t>JD0000023973</t>
  </si>
  <si>
    <t>(어릴 때 키워야 평생가는) 아이의 독서력 3~4학년</t>
  </si>
  <si>
    <t>JD0000023974</t>
  </si>
  <si>
    <t>JD0000023975</t>
  </si>
  <si>
    <t>(어릴 때 키워야 평생가는) 아이의 독서력 5~6학년</t>
  </si>
  <si>
    <t>JD0000023976</t>
  </si>
  <si>
    <t>JD0000023977</t>
  </si>
  <si>
    <t>(유태인들만 알고 있는) 부의 법칙 : 전 세계의 부를 장악한 유태인의 성공 비밀</t>
  </si>
  <si>
    <t>이시즈미 간지 지음;이수미 옮김</t>
  </si>
  <si>
    <t>JD0000023978</t>
  </si>
  <si>
    <t>(흩어진 마음을 다스리는) 30분 산책기술</t>
  </si>
  <si>
    <t>사이토 다카시 지음;유윤한 옮김</t>
  </si>
  <si>
    <t>JD0000023979</t>
  </si>
  <si>
    <t>최종엽 지음</t>
  </si>
  <si>
    <t>JD0000023980</t>
  </si>
  <si>
    <t>(10대와 통하는) 노동 인권 이야기 : 차남호 선생님이 들려주는 노동과 세계</t>
  </si>
  <si>
    <t>글: 차남호;그림: 홍윤표</t>
  </si>
  <si>
    <t>JD0000023981</t>
  </si>
  <si>
    <t>(나를 특별하게 해주는) 14세의 교과서</t>
  </si>
  <si>
    <t>오경란 [외] 지음</t>
  </si>
  <si>
    <t>JD0000023982</t>
  </si>
  <si>
    <t>지은이: 김옥림</t>
  </si>
  <si>
    <t>JD0000023983</t>
  </si>
  <si>
    <t>김대중 지음</t>
  </si>
  <si>
    <t>JD0000023984</t>
  </si>
  <si>
    <t>(부하를 춤추게 하는) CEO의 질문 = Questions from CEO</t>
  </si>
  <si>
    <t>마쓰다 미히로 지음;김나위 편역</t>
  </si>
  <si>
    <t>매경출판</t>
  </si>
  <si>
    <t>JD0000023985</t>
  </si>
  <si>
    <t>갈등의 전략 : 노벨경제학상에 빛나는 게임이론의 바이블</t>
  </si>
  <si>
    <t>토머스 셸링 지음;이경남 옮김</t>
  </si>
  <si>
    <t>JD0000023986</t>
  </si>
  <si>
    <t>감정을 지배하면 생각을 깨운다 : 마음을 정리하는 힘!</t>
  </si>
  <si>
    <t>마르코 폰 뮌히하우젠 지음;김해생 옮김</t>
  </si>
  <si>
    <t>한국경제신문(한경BP)</t>
  </si>
  <si>
    <t>JD0000023987</t>
  </si>
  <si>
    <t>경영의 도 : 모든 길은 전략으로 통한다</t>
  </si>
  <si>
    <t>리우이난 지음;윤정로 옮김</t>
  </si>
  <si>
    <t>다상</t>
  </si>
  <si>
    <t>JD0000023988</t>
  </si>
  <si>
    <t>경영의 신. 1, 누구의 인생도 닮지 마라</t>
  </si>
  <si>
    <t>정혁준 지음</t>
  </si>
  <si>
    <t>다산북스</t>
  </si>
  <si>
    <t>JD0000023989</t>
  </si>
  <si>
    <t>고1 학습 완전정복 : 지금 막연하게 공부하면 고3 때 후회한다</t>
  </si>
  <si>
    <t>서상훈;장문성 지음</t>
  </si>
  <si>
    <t>JD0000023990</t>
  </si>
  <si>
    <t>고2 학습 완전정복 : 2년 뒤 서울대생을 만드는 공부법</t>
  </si>
  <si>
    <t>JD0000023991</t>
  </si>
  <si>
    <t>고장 난 거대 기업 : 우리 시대 기업에 따뜻한 심장 달기</t>
  </si>
  <si>
    <t>이영면;정란아;신태중;전채연;정혜용 지음</t>
  </si>
  <si>
    <t>양철북</t>
  </si>
  <si>
    <t>JD0000023992</t>
  </si>
  <si>
    <t>국가는 내 돈을 어떻게 쓰는가 : 이제는 알아야 할 나라살림의 경제학</t>
  </si>
  <si>
    <t>김태일 지음</t>
  </si>
  <si>
    <t>JD0000023993</t>
  </si>
  <si>
    <t>국제분쟁, 재앙인가, 평화를 위한 갈등인가?</t>
  </si>
  <si>
    <t>글: 헬렌 웨어;옮긴이: 이광수</t>
  </si>
  <si>
    <t>이후</t>
  </si>
  <si>
    <t>JD0000023994</t>
  </si>
  <si>
    <t>권력의 언어 : 주도권 게임에서 어떻게 살아남을 것인가</t>
  </si>
  <si>
    <t>마티아스 뇔케 지음;장혜경 옮김</t>
  </si>
  <si>
    <t>갈매나무</t>
  </si>
  <si>
    <t>JD0000023995</t>
  </si>
  <si>
    <t>그들이 세상을 지배해왔다 : 금융권력, 제국의 지배는 계속될 것인가 국가가 반란을 일으킬 것인가</t>
  </si>
  <si>
    <t>알랭 소랄 지음;이현웅 옮김</t>
  </si>
  <si>
    <t>갈라파고스</t>
  </si>
  <si>
    <t>JD0000023996</t>
  </si>
  <si>
    <t>기업 경영에 숨겨진 101가지 진실</t>
  </si>
  <si>
    <t>김수헌;한은미 [공]지음</t>
  </si>
  <si>
    <t>어바웃어북</t>
  </si>
  <si>
    <t>JD0000023997</t>
  </si>
  <si>
    <t>기획된 가족 : 맞벌이 화이트칼라 여성들은 어떻게 중산층을 기획하는가</t>
  </si>
  <si>
    <t>조주은 지음</t>
  </si>
  <si>
    <t>서해문집</t>
  </si>
  <si>
    <t>JD0000023998</t>
  </si>
  <si>
    <t>끝까지 연기하라</t>
  </si>
  <si>
    <t>로버트 고다드 지음;김송현정 옮김</t>
  </si>
  <si>
    <t>검은숲(시공사)</t>
  </si>
  <si>
    <t>JD0000023999</t>
  </si>
  <si>
    <t>나는 대한민국 트레이더다 : 한국 주식, 선물옵션시장의 마법사들 = I am Korean trader</t>
  </si>
  <si>
    <t>신인식 지음</t>
  </si>
  <si>
    <t>이레미디어</t>
  </si>
  <si>
    <t>JD0000024000</t>
  </si>
  <si>
    <t>나는 대한민국의 딜러다 : 한국 외환, 채권시장의 마법사들</t>
  </si>
  <si>
    <t>JD0000024001</t>
  </si>
  <si>
    <t>나는 왜 교사인가 : 윤지형의 교사탐구</t>
  </si>
  <si>
    <t>윤지형 지음</t>
  </si>
  <si>
    <t>교육공동체 벗</t>
  </si>
  <si>
    <t>JD0000024002</t>
  </si>
  <si>
    <t>나란 놈, 너란 녀석 : 열일곱 살, 친구 관계를 생각하다</t>
  </si>
  <si>
    <t>김국태 [외] 지음</t>
  </si>
  <si>
    <t>JD0000024003</t>
  </si>
  <si>
    <t>남자의 공간 : 남자는 가끔 행복한 혼자를 꿈꾼다</t>
  </si>
  <si>
    <t>이문희;박정민 지음</t>
  </si>
  <si>
    <t>JD0000024004</t>
  </si>
  <si>
    <t>내 삶의 뜀 틀 : 가슴이 뛸 때, 비로소 틀을 넘는다!</t>
  </si>
  <si>
    <t>김상국 지음</t>
  </si>
  <si>
    <t>한국외국어대학교출판부</t>
  </si>
  <si>
    <t>JD0000024005</t>
  </si>
  <si>
    <t>내 아이가 갈 수 있는 최고의 대학</t>
  </si>
  <si>
    <t>박소형;민성원 지음</t>
  </si>
  <si>
    <t>JD0000024006</t>
  </si>
  <si>
    <t>JD0000024007</t>
  </si>
  <si>
    <t>내 아이를 위한 키즈코칭 : 아이의 운명을 바꾸는 공감과 존중의 마법</t>
  </si>
  <si>
    <t>킴벌리 클레이턴 블레인 지음;김수진 옮김</t>
  </si>
  <si>
    <t>다온북스</t>
  </si>
  <si>
    <t>JD0000024008</t>
  </si>
  <si>
    <t>내 안의 성난 코끼리 길들이기 : 날마다 깨어 있기 연습법 53</t>
  </si>
  <si>
    <t>잰 초젠 베이스 지음;황근하 옮김</t>
  </si>
  <si>
    <t>JD0000024009</t>
  </si>
  <si>
    <t>너는 커서 뭐가 될래? : Dreams</t>
  </si>
  <si>
    <t>오와키 타카시 지음;문영은 옮김</t>
  </si>
  <si>
    <t>JD0000024010</t>
  </si>
  <si>
    <t>누구나 성격을 바꿀 수 있다</t>
  </si>
  <si>
    <t>고코로야 진노스케 지음;이해수 옮김</t>
  </si>
  <si>
    <t>좋은날들</t>
  </si>
  <si>
    <t>JD0000024011</t>
  </si>
  <si>
    <t>달콤한 로그아웃</t>
  </si>
  <si>
    <t>알렉스 륄레 지음;김태정 옮김</t>
  </si>
  <si>
    <t>나무위의책</t>
  </si>
  <si>
    <t>JD0000024012</t>
  </si>
  <si>
    <t>당신은 좋은 부모입니다</t>
  </si>
  <si>
    <t>김용재 지음</t>
  </si>
  <si>
    <t>좋은씨앗</t>
  </si>
  <si>
    <t>JD0000024013</t>
  </si>
  <si>
    <t>JD0000024014</t>
  </si>
  <si>
    <t>당신은 지금 무엇을 생각하는가 : 성공을 부르는 생각의 힘 = Dream Think Want Success Habit</t>
  </si>
  <si>
    <t>이규성 지음</t>
  </si>
  <si>
    <t>라이온북스</t>
  </si>
  <si>
    <t>JD0000024015</t>
  </si>
  <si>
    <t>(단 한 번뿐인 인생을 위하여) 대시하라</t>
  </si>
  <si>
    <t>에릭 J. 아론슨 지음;노혜숙 옮김</t>
  </si>
  <si>
    <t>이콘</t>
  </si>
  <si>
    <t>JD0000024016</t>
  </si>
  <si>
    <t>(인기 재테크 블로거 요니나의) 대학생 재테크</t>
  </si>
  <si>
    <t>김나연 지음</t>
  </si>
  <si>
    <t>조선매거진</t>
  </si>
  <si>
    <t>JD0000024017</t>
  </si>
  <si>
    <t>멍 때려라 : 뇌가 휴식하고 재정비하는 바로 그 시간</t>
  </si>
  <si>
    <t>신동원 지음</t>
  </si>
  <si>
    <t>센추리원</t>
  </si>
  <si>
    <t>JD0000024018</t>
  </si>
  <si>
    <t>명문대 합격생 100인의 공부비결</t>
  </si>
  <si>
    <t>김태광 지음</t>
  </si>
  <si>
    <t>티즈맵출판사</t>
  </si>
  <si>
    <t>JD0000024019</t>
  </si>
  <si>
    <t>모피아 : 돈과 마음의 전쟁 = MOFIA</t>
  </si>
  <si>
    <t>우석훈 지음</t>
  </si>
  <si>
    <t>JD0000024020</t>
  </si>
  <si>
    <t>미안하다고 하는데 왜 화를 내는 걸까</t>
  </si>
  <si>
    <t>로널드 T. 포터-에프론 지음;전승로 옮김</t>
  </si>
  <si>
    <t>다연</t>
  </si>
  <si>
    <t>JD0000024021</t>
  </si>
  <si>
    <t>미친 세상에서 용감하게 살아가기 : 당당하게 버티고 필요할 때 행동하는 용기강화의 심리학</t>
  </si>
  <si>
    <t>로버트 비스워스-디너 지음;민지영 엮음</t>
  </si>
  <si>
    <t>JD0000024022</t>
  </si>
  <si>
    <t>박근혜 사람들 : 세대를 아우르는 용인의 기술</t>
  </si>
  <si>
    <t>한국경제신문 정치부 지음</t>
  </si>
  <si>
    <t>JD0000024023</t>
  </si>
  <si>
    <t>(박근혜 시대) 파워엘리트</t>
  </si>
  <si>
    <t>매일경제정치부;MBN 정치부 [공]지음</t>
  </si>
  <si>
    <t>JD0000024024</t>
  </si>
  <si>
    <t>(백만장자 선생님의) 부자 수업 : 통장을 스쳐가는 월급을 지켜내고 목돈으로 키우는 재테크 비법!</t>
  </si>
  <si>
    <t>앤드류 할램 지음;이광희 옮김</t>
  </si>
  <si>
    <t>미래엔</t>
  </si>
  <si>
    <t>JD0000024025</t>
  </si>
  <si>
    <t>버리면 행복한 것들 : 평화와 행복을 위한 내 마음 사용법</t>
  </si>
  <si>
    <t>박필규 지음</t>
  </si>
  <si>
    <t>미래지식</t>
  </si>
  <si>
    <t>JD0000024026</t>
  </si>
  <si>
    <t>법의 지배 : 법의 탄생에서 테러리즘까지, 법치주의의 모든 것</t>
  </si>
  <si>
    <t>톰 빙험 지음;김기창 옮김</t>
  </si>
  <si>
    <t>JD0000024027</t>
  </si>
  <si>
    <t>변화는 사막에도 비를 뿌린다 : 어린 왕자가 당신의 회사를 찾아온다면...</t>
  </si>
  <si>
    <t>보르하 빌라세카 지음;이선영 옮김</t>
  </si>
  <si>
    <t>글로세움</t>
  </si>
  <si>
    <t>JD0000024028</t>
  </si>
  <si>
    <t>부자들의 한마디 : 전 세계 억만장자들이 들려주는 인생 최고의 명언</t>
  </si>
  <si>
    <t>스티븐 D. 프라이스 엮음;우진하 옮김</t>
  </si>
  <si>
    <t>더난출판</t>
  </si>
  <si>
    <t>JD0000024029</t>
  </si>
  <si>
    <t>빅데이터, 세상을 이해하는 새로운 방법 : 세상을 바꾸고 나를 변화시키는 보이지 않는 것의 힘</t>
  </si>
  <si>
    <t>박순서 저</t>
  </si>
  <si>
    <t>레디셋고</t>
  </si>
  <si>
    <t>JD0000024030</t>
  </si>
  <si>
    <t>빚, 정리의 기술 : 손봉석 회계사의 빚 자동 관리시스템</t>
  </si>
  <si>
    <t>손봉석 지음</t>
  </si>
  <si>
    <t>JD0000024031</t>
  </si>
  <si>
    <t>사랑은 거북이도 뛰게 한다</t>
  </si>
  <si>
    <t>조엘 맨비 지음;김진선 옮김</t>
  </si>
  <si>
    <t>코리아닷컴</t>
  </si>
  <si>
    <t>JD0000024032</t>
  </si>
  <si>
    <t>사장의 일 : 모든책임과 정면 승부할 각오가 되어 있는 사장에게 바치는책</t>
  </si>
  <si>
    <t>하마구치 다카노리 지음;김하경 옮김</t>
  </si>
  <si>
    <t>JD0000024033</t>
  </si>
  <si>
    <t>사진으로 만나는 인문학 : 세상을 보는 눈을 바꿔주는 사진 특강</t>
  </si>
  <si>
    <t>함철훈 지음</t>
  </si>
  <si>
    <t>교보문고</t>
  </si>
  <si>
    <t>JD0000024034</t>
  </si>
  <si>
    <t>살의의 쐐기</t>
  </si>
  <si>
    <t>에드 맥베인 지음;박진세 옮김</t>
  </si>
  <si>
    <t>피니스 아프리카에</t>
  </si>
  <si>
    <t>JD0000024035</t>
  </si>
  <si>
    <t>(상위 1%가 즐기는) 똑똑한 두뇌퍼즐</t>
  </si>
  <si>
    <t>이반 모스크비치 지음;이현정 옮김</t>
  </si>
  <si>
    <t>터닝포인트</t>
  </si>
  <si>
    <t>JD0000024036</t>
  </si>
  <si>
    <t>새벽 : 김대중 평전</t>
  </si>
  <si>
    <t>사계절출판사</t>
  </si>
  <si>
    <t>JD0000024037</t>
  </si>
  <si>
    <t>생각과 행동 사이 : 졸속(拙速)이 지완(遲完)을 이긴다</t>
  </si>
  <si>
    <t>도요다 게이치 지음;고경문 옮김</t>
  </si>
  <si>
    <t>거름</t>
  </si>
  <si>
    <t>JD0000024038</t>
  </si>
  <si>
    <t>서른 전에 결혼하지 마라</t>
  </si>
  <si>
    <t>조이 첸 지음;이주혜 옮김</t>
  </si>
  <si>
    <t>문학산책</t>
  </si>
  <si>
    <t>JD0000024039</t>
  </si>
  <si>
    <t>성공을 부르는 스피치 코칭</t>
  </si>
  <si>
    <t>임유정 지음</t>
  </si>
  <si>
    <t>JD0000024040</t>
  </si>
  <si>
    <t>속도의 배신 : 왜 어떤 이는 빨라도 실패하고, 어떤 이는 느려도 성공하는가</t>
  </si>
  <si>
    <t>프랭크 파트노이 지음;강수희 옮김</t>
  </si>
  <si>
    <t>추수밭</t>
  </si>
  <si>
    <t>JD0000024041</t>
  </si>
  <si>
    <t>(수학의 신神) 엄마가 만든다., 유아 편</t>
  </si>
  <si>
    <t>임미성 지음;일러스트 김재연</t>
  </si>
  <si>
    <t>동아일보사</t>
  </si>
  <si>
    <t>JD0000024042</t>
  </si>
  <si>
    <t>스무살, 버리지 말아야 할 것들 : 대한민국 20대 이대로 낭비하기엔 젊음이 너무 아깝다!</t>
  </si>
  <si>
    <t>임재성 지음</t>
  </si>
  <si>
    <t>경향비피</t>
  </si>
  <si>
    <t>JD0000024043</t>
  </si>
  <si>
    <t>스펙없이 성공하기 : 세계 최고의 B-boy가 힘들고 지쳐있는 청춘에게 전하는 희망메시지</t>
  </si>
  <si>
    <t>정동민 지음</t>
  </si>
  <si>
    <t>미래와경영</t>
  </si>
  <si>
    <t>JD0000024044</t>
  </si>
  <si>
    <t>(아이의 숨은 잠재력을 끌어내는) 아빠 대화법</t>
  </si>
  <si>
    <t>전도근 지음</t>
  </si>
  <si>
    <t>JD0000024045</t>
  </si>
  <si>
    <t>JD0000024046</t>
  </si>
  <si>
    <t>어제는 버리고 가라 : 지금 내가 하는 일이 나를 가장 행복하게 만든다</t>
  </si>
  <si>
    <t>왕이지아 지음;김영수 옮김</t>
  </si>
  <si>
    <t>JD0000024047</t>
  </si>
  <si>
    <t>엄마도 상처 받는다 : 10대 아이와의 기싸움에 지친 부모들을 위한 심리학</t>
  </si>
  <si>
    <t>이영민 지음</t>
  </si>
  <si>
    <t>JD0000024048</t>
  </si>
  <si>
    <t>(창의폭발) 엄마표 창의왕 수학놀이 : 놀면서 수학 천재 만드는 하루 10분 기적의 유아수학놀이</t>
  </si>
  <si>
    <t>민이럽 류진희 지음</t>
  </si>
  <si>
    <t>이퍼블릭</t>
  </si>
  <si>
    <t>JD0000024049</t>
  </si>
  <si>
    <t>(여자의 인생을 바꿔준) 리딩 파워</t>
  </si>
  <si>
    <t>설연희 지음</t>
  </si>
  <si>
    <t>JD0000024050</t>
  </si>
  <si>
    <t>역시 내 결혼 전략은 잘못됐다</t>
  </si>
  <si>
    <t>미나미 미쓰아키 지음;김예진 옮김</t>
  </si>
  <si>
    <t>디앤씨미디어</t>
  </si>
  <si>
    <t>JD0000024051</t>
  </si>
  <si>
    <t>연애 바이블 : 연애의 전략 기술 노하우 심리 매너 핵심…… 대한민국 대표 연애 컨설턴트 송창민이 제안하는 완벽 연애를 위한 A TO Z</t>
  </si>
  <si>
    <t>송창민 지음</t>
  </si>
  <si>
    <t>JD0000024052</t>
  </si>
  <si>
    <t>열정을 깨우는 마법의 편지</t>
  </si>
  <si>
    <t>김영철;이영식;김진혁;손병숙;이진수;서윤향 지음</t>
  </si>
  <si>
    <t>JD0000024053</t>
  </si>
  <si>
    <t>영화를 함께 보면 아이의 숨은 마음이 보인다</t>
  </si>
  <si>
    <t>차승민 지음</t>
  </si>
  <si>
    <t>JD0000024054</t>
  </si>
  <si>
    <t>오픈 샌드위치 : 북유럽식 행복 레시피</t>
  </si>
  <si>
    <t>데비 리 지음;김은기 옮김</t>
  </si>
  <si>
    <t>AMStory</t>
  </si>
  <si>
    <t>JD0000024055</t>
  </si>
  <si>
    <t>왜 그렇게 살았을까 : 나를 찾아 떠나는 3일간의 가치 여행</t>
  </si>
  <si>
    <t>정진호 지음</t>
  </si>
  <si>
    <t>IGM세계경영연구원</t>
  </si>
  <si>
    <t>JD0000024056</t>
  </si>
  <si>
    <t>위기의 시대, 이순신이 답하다 : 난중일기에서 배우는 시대를 초월한 경영전략</t>
  </si>
  <si>
    <t>방성석 지음</t>
  </si>
  <si>
    <t>JD0000024057</t>
  </si>
  <si>
    <t>위대한 CEO가 우리에게 남긴 말들 : 지금, 당신의 생각을 행동으로 바꾸는 한마디!</t>
  </si>
  <si>
    <t>조선경 지음</t>
  </si>
  <si>
    <t>JD0000024058</t>
  </si>
  <si>
    <t>(반드시 알아야 할 50) 위대한 경제 : 우리가 아는 모든 세계를 움직이는 힘</t>
  </si>
  <si>
    <t>에드먼드 콘웨이 지음;오승훈 옮김</t>
  </si>
  <si>
    <t>JD0000024059</t>
  </si>
  <si>
    <t>인문에서 경영의 지혜를 배우다 : 논어의 가르침에서 경영의 해법을 찾다</t>
  </si>
  <si>
    <t>샹루 지음;황보경 옮김</t>
  </si>
  <si>
    <t>평단문화사</t>
  </si>
  <si>
    <t>JD0000024060</t>
  </si>
  <si>
    <t>인생이 묻고 철학이 답하다 : 고민하는 어른을 위한 한밤의 인생론</t>
  </si>
  <si>
    <t>오가와 히토시 지음;홍성민 옮김</t>
  </si>
  <si>
    <t>더난콘텐츠그룹</t>
  </si>
  <si>
    <t>JD0000024061</t>
  </si>
  <si>
    <t>인생학교 돈 : 돈에 관해 덜 걱정하는 법</t>
  </si>
  <si>
    <t>존 암스트롱 지음;정미우 옮김</t>
  </si>
  <si>
    <t>JD0000024062</t>
  </si>
  <si>
    <t>인생학교 시간 : 디지털 시대에 살아남는 법</t>
  </si>
  <si>
    <t>톰 체트필드 지음;정미나 옮김</t>
  </si>
  <si>
    <t>JD0000024063</t>
  </si>
  <si>
    <t>인생학교 일 : 일에서 충만함을 찾는 법</t>
  </si>
  <si>
    <t>로먼 크르즈나릭 지음;정지현 옮김</t>
  </si>
  <si>
    <t>JD0000024064</t>
  </si>
  <si>
    <t>인생학교 정신 : 온전한 정신으로 사는 법</t>
  </si>
  <si>
    <t>필립파 페리 지음;정미나 옮김</t>
  </si>
  <si>
    <t>JD0000024065</t>
  </si>
  <si>
    <t>인피리어 : 피아더르 오 길린 장편소설, 뼈와 돌의 전쟁</t>
  </si>
  <si>
    <t>피아더르 오 길린;이원경 옮김</t>
  </si>
  <si>
    <t>까멜레옹(비룡소)</t>
  </si>
  <si>
    <t>JD0000024066</t>
  </si>
  <si>
    <t>일본은 지금 무엇을 생각하는가? : 일본 최고 전략가들이 말하는 일본의 本心</t>
  </si>
  <si>
    <t>문정인 지음;서승원 지음</t>
  </si>
  <si>
    <t>삼성경제연구소</t>
  </si>
  <si>
    <t>JD0000024067</t>
  </si>
  <si>
    <t>장애인 복지 천국을 가다 : 행복한 자립이 있는 해외 재활 시설 탐방기</t>
  </si>
  <si>
    <t>백경학 지음</t>
  </si>
  <si>
    <t>부키</t>
  </si>
  <si>
    <t>JD0000024068</t>
  </si>
  <si>
    <t>전쟁론 이펙트 : 전쟁의 방식은 어떻게 진화되어왔는가?</t>
  </si>
  <si>
    <t>휴 스트레이천 지음;허남성 옮김</t>
  </si>
  <si>
    <t>세종서적</t>
  </si>
  <si>
    <t>JD0000024069</t>
  </si>
  <si>
    <t>정치는 어떻게 이동하는가 : 토플러가 말하는 제3 물결 정치학</t>
  </si>
  <si>
    <t>앨빈 토플러;하이디 토플러 지음;김원호 옮김</t>
  </si>
  <si>
    <t>JD0000024070</t>
  </si>
  <si>
    <t>중국, 묻고 답하다 : 미국이 바라본 라이벌 중국의 핵심 이슈 108</t>
  </si>
  <si>
    <t>글: 제프리 와서스트롬;옮긴이: 박민호</t>
  </si>
  <si>
    <t>JD0000024071</t>
  </si>
  <si>
    <t>(집에서 따라잡는) 엄마표 스마트 수업</t>
  </si>
  <si>
    <t>조기성 지음</t>
  </si>
  <si>
    <t>스타일북스</t>
  </si>
  <si>
    <t>JD0000024072</t>
  </si>
  <si>
    <t>책 많이 읽는 우리 아이, 공부는 왜 못할까 : 성적이 쑥쑥 올라가는 초등 글쓰기 클리닉</t>
  </si>
  <si>
    <t>김순옥 지음</t>
  </si>
  <si>
    <t>느림보</t>
  </si>
  <si>
    <t>JD0000024073</t>
  </si>
  <si>
    <t>청년, 창업에 미치다 : 청년창업사관학교 졸업자 21인의 무한도전 창업분투기 = Crazy for startup!</t>
  </si>
  <si>
    <t>청년창업사관학교</t>
  </si>
  <si>
    <t>북퀘스트</t>
  </si>
  <si>
    <t>JD0000024074</t>
  </si>
  <si>
    <t>초등교사 이야기 : 좌충우돌 김 교사의 시끌벅적 수업일기</t>
  </si>
  <si>
    <t>김연화 지음</t>
  </si>
  <si>
    <t>즐거운학교</t>
  </si>
  <si>
    <t>JD0000024075</t>
  </si>
  <si>
    <t>침묵의 미래 외 8편</t>
  </si>
  <si>
    <t>김애란 [외] 지음</t>
  </si>
  <si>
    <t>문학사상</t>
  </si>
  <si>
    <t>JD0000024076</t>
  </si>
  <si>
    <t>탈모왕 이마반 : 대한민국 1천만 탈모인을 위한 건강 웹툰!</t>
  </si>
  <si>
    <t>이마반 지음;PRAV 그림</t>
  </si>
  <si>
    <t>비타북스</t>
  </si>
  <si>
    <t>JD0000024077</t>
  </si>
  <si>
    <t>파괴하고 혁신하라 : 상식을 뛰어넘는 20가지 비상식의 경영학</t>
  </si>
  <si>
    <t>김남국 지음</t>
  </si>
  <si>
    <t>JD0000024078</t>
  </si>
  <si>
    <t>파워 오브 슬로우</t>
  </si>
  <si>
    <t>크리스틴 루이스 홀바움 지음;[국제제자훈련원 편역]</t>
  </si>
  <si>
    <t>Teritos</t>
  </si>
  <si>
    <t>JD0000024079</t>
  </si>
  <si>
    <t>평판이 스펙이다 : 보이지 않는 강력한 이력서 평판의 힘</t>
  </si>
  <si>
    <t>아이하라 다카오 지음;박재현 옮김</t>
  </si>
  <si>
    <t>JD0000024080</t>
  </si>
  <si>
    <t>회계드레싱 10 episodes : 회계부정 어떻게 막을 것인가</t>
  </si>
  <si>
    <t>무라이 다다시 지음;이용택 옮김</t>
  </si>
  <si>
    <t>이너북</t>
  </si>
  <si>
    <t>JD0000024081</t>
  </si>
  <si>
    <t>(노벨상을 꿈꾸는) 과학자들의 비밀노트 : 교육과학기술부 선정 우수 과학자 12인의 특별한 과학이야기</t>
  </si>
  <si>
    <t>한국과학재단 엮음</t>
  </si>
  <si>
    <t>중앙에듀북스</t>
  </si>
  <si>
    <t>JD0000024082</t>
  </si>
  <si>
    <t>(캐릭터로 배우는 재미있는) 원소 생활</t>
  </si>
  <si>
    <t>요리후지 분페 지음;나성은;공영태 옮김</t>
  </si>
  <si>
    <t>이치</t>
  </si>
  <si>
    <t>JD0000024083</t>
  </si>
  <si>
    <t>(햄버거보다 맛있는) 수학이야기</t>
  </si>
  <si>
    <t>요시자와 미쓰오 지음;김정환 옮김</t>
  </si>
  <si>
    <t>JD0000024084</t>
  </si>
  <si>
    <t>피터 매시니스 지음;이수연 옮김</t>
  </si>
  <si>
    <t>생각의날개</t>
  </si>
  <si>
    <t>JD0000024085</t>
  </si>
  <si>
    <t>강상규 지음</t>
  </si>
  <si>
    <t>논형</t>
  </si>
  <si>
    <t>JD0000024086</t>
  </si>
  <si>
    <t>경도 이야기 : 인류 최초로 바다의 시공간을 밝혀낸 도전의 역사</t>
  </si>
  <si>
    <t>데이바 소벨 지음;김진준 옮김</t>
  </si>
  <si>
    <t>JD0000024087</t>
  </si>
  <si>
    <t>과학 기술 민주주의 : 과학기술에서 전문가주의를 넘어서는 시민참여의 도전</t>
  </si>
  <si>
    <t>대니얼 리 클라인맨 엮음;네바 해서네인;대니얼 리 클라인맨 외 지음;김명진;김병윤;오은정 옮김</t>
  </si>
  <si>
    <t>JD0000024088</t>
  </si>
  <si>
    <t>과학을 이끄는 나침반 : 대덕연구단지 어느 과학자의 삶 속 이야기</t>
  </si>
  <si>
    <t>이규호 지음</t>
  </si>
  <si>
    <t>JD0000024089</t>
  </si>
  <si>
    <t>과학자들의 대결 : 하얀 실험 가운 뒤에 숨어 있는 천재들의 뒷이야기</t>
  </si>
  <si>
    <t>로엘 레비 지음;최가영 옮김</t>
  </si>
  <si>
    <t>지식나이테</t>
  </si>
  <si>
    <t>JD0000024090</t>
  </si>
  <si>
    <t>광물, 역사를 바꾸다 : 인류 문화의 흐름을 바꾼 50가지 광물 이야기</t>
  </si>
  <si>
    <t>에릭 샬린 지음;서종기 옮김</t>
  </si>
  <si>
    <t>JD0000024091</t>
  </si>
  <si>
    <t>그림으로 보는 과학의 숨은 역사 : 과학혁명 인간의 역사 이미지의 비밀</t>
  </si>
  <si>
    <t>홍성욱</t>
  </si>
  <si>
    <t>책세상</t>
  </si>
  <si>
    <t>JD0000024092</t>
  </si>
  <si>
    <t>(꿀벌이 좋아하는) 우리 산야의 꽃 : 꽃가루의 미세구조 사진 상세 수록</t>
  </si>
  <si>
    <t>공저: 홍인표;우순옥;최용수;심하식;한상미;변규호;이명렬</t>
  </si>
  <si>
    <t>푸른행복</t>
  </si>
  <si>
    <t>JD0000024093</t>
  </si>
  <si>
    <t>세상은 어떻게 시작되었는가</t>
  </si>
  <si>
    <t>크리스 임피 지음;이강환 옮김</t>
  </si>
  <si>
    <t>JD0000024094</t>
  </si>
  <si>
    <t>(손안의) 수학 : 2000여 가지의 사실과 도표, 공식들과 생활 속 수학의 매력 = Math in Your Pocket</t>
  </si>
  <si>
    <t>마크 프레리;남호영</t>
  </si>
  <si>
    <t>Gbrain(작은책방)</t>
  </si>
  <si>
    <t>JD0000024095</t>
  </si>
  <si>
    <t>수냐의 수학카페. 1, 수는 죽었다 VS 수는 영원하다</t>
  </si>
  <si>
    <t>김용관 지음</t>
  </si>
  <si>
    <t>궁리</t>
  </si>
  <si>
    <t>JD0000024096</t>
  </si>
  <si>
    <t>수냐의 수학카페. 2, 계산 낙오자 3인방, 수학카페를 점령하다</t>
  </si>
  <si>
    <t>JD0000024097</t>
  </si>
  <si>
    <t>수학 괴물을 죽이는 법 : 세상의 모든 호기심에 답하는 수학의 핵심 개념 35가지</t>
  </si>
  <si>
    <t>리처드 엘위스 지음;이충호 옮김</t>
  </si>
  <si>
    <t>미래인</t>
  </si>
  <si>
    <t>JD0000024098</t>
  </si>
  <si>
    <t>(12명 서울대 합격생들이 말하는) 수학 만점 비법</t>
  </si>
  <si>
    <t>이병훈;장윤정 [외] 지음</t>
  </si>
  <si>
    <t>JD0000024099</t>
  </si>
  <si>
    <t>시크릿 사이언스</t>
  </si>
  <si>
    <t>박철진 지음</t>
  </si>
  <si>
    <t>양문</t>
  </si>
  <si>
    <t>JD0000024100</t>
  </si>
  <si>
    <t>십대, 별과 우주를 사색해야 하는 이유 : 우주를 읽으면 인생이 달라진다</t>
  </si>
  <si>
    <t>이광식</t>
  </si>
  <si>
    <t>JD0000024101</t>
  </si>
  <si>
    <t>야생의 몸, 벌거벗은 인간 : 인간의 몸을 만든 포식자·기생자 동반자</t>
  </si>
  <si>
    <t>롭 던 지음;김정은 옮김</t>
  </si>
  <si>
    <t>열린과학</t>
  </si>
  <si>
    <t>JD0000024102</t>
  </si>
  <si>
    <t>엄마의 유전학 이야기</t>
  </si>
  <si>
    <t>저자: 김경희</t>
  </si>
  <si>
    <t>고려의학</t>
  </si>
  <si>
    <t>JD0000024103</t>
  </si>
  <si>
    <t>에포컬 모멘텀 : 한국 과학사의 획기적인 순간들 = Epochal momentum</t>
  </si>
  <si>
    <t>지은이: 김일권 [외] 지음</t>
  </si>
  <si>
    <t>JD0000024104</t>
  </si>
  <si>
    <t>우리 역사 속 수학 이야기 : 흥미로운 조상들의 수학을 찾아서</t>
  </si>
  <si>
    <t>이장주 지음</t>
  </si>
  <si>
    <t>JD0000024105</t>
  </si>
  <si>
    <t>우리는 어떻게 지구에서 살게 되었을까? : 인류가 탄생하게 된 12가지 우연</t>
  </si>
  <si>
    <t>신 줌페이 지음;이수경 옮김</t>
  </si>
  <si>
    <t>JD0000024106</t>
  </si>
  <si>
    <t>우리들은 갈릴레오</t>
  </si>
  <si>
    <t>이타쿠라 키요노부 글;한상미 번역</t>
  </si>
  <si>
    <t>JD0000024107</t>
  </si>
  <si>
    <t>우주 속으로 걷다</t>
  </si>
  <si>
    <t>브라이언 토머스 스윔;메리 에블린 터커 글;조상호 옮김</t>
  </si>
  <si>
    <t>JD0000024108</t>
  </si>
  <si>
    <t>이것은 수학입니까? : 자연수, 0, 음수, 분수 그리고 사칙연산의 논리</t>
  </si>
  <si>
    <t>데이비드 벌린스키 지음;이경아 옮김</t>
  </si>
  <si>
    <t>에이도스</t>
  </si>
  <si>
    <t>JD0000024109</t>
  </si>
  <si>
    <t>인간의 유전자는 어떻게 진화하는가</t>
  </si>
  <si>
    <t>베르나르 뒤종 지음;김성희 옮김</t>
  </si>
  <si>
    <t>JD0000024110</t>
  </si>
  <si>
    <t>자연의 저주 : 명·청 시대 장강長江 중류 지역의 개발과 환경</t>
  </si>
  <si>
    <t>정철웅 지음</t>
  </si>
  <si>
    <t>JD0000024111</t>
  </si>
  <si>
    <t>조장희, 과학자 조장희의 불꽃같은 삶</t>
  </si>
  <si>
    <t>서울대학교출판문화원</t>
  </si>
  <si>
    <t>JD0000024112</t>
  </si>
  <si>
    <t>(청소년이 꼭 알아야 할) 과학이슈 11. 2</t>
  </si>
  <si>
    <t>강석기 등 지음</t>
  </si>
  <si>
    <t>동아사이언스</t>
  </si>
  <si>
    <t>JD0000024113</t>
  </si>
  <si>
    <t>추측술</t>
  </si>
  <si>
    <t>야코프 베르누이 지음;조재근 옮김</t>
  </si>
  <si>
    <t>JD0000024114</t>
  </si>
  <si>
    <t>(EBS 다큐프라임) 기억력의 비밀 : 내 안에 잠든 슈퍼 기억력을 깨워라!</t>
  </si>
  <si>
    <t>EBS 기억력의 비밀제작진</t>
  </si>
  <si>
    <t>JD0000024115</t>
  </si>
  <si>
    <t>신우식의 스타일 톡톡</t>
  </si>
  <si>
    <t>신우식 지음</t>
  </si>
  <si>
    <t>M</t>
  </si>
  <si>
    <t>JD0000024116</t>
  </si>
  <si>
    <t>(하루 3시간) 엄마 냄새</t>
  </si>
  <si>
    <t>이현수 지음</t>
  </si>
  <si>
    <t>JD0000024117</t>
  </si>
  <si>
    <t>히노하라 시게아키 지음;이혁재 옮김</t>
  </si>
  <si>
    <t>예인</t>
  </si>
  <si>
    <t>JD0000024118</t>
  </si>
  <si>
    <t>EBS〈10대 성장 보고서〉제작팀 지음</t>
  </si>
  <si>
    <t>JD0000024119</t>
  </si>
  <si>
    <t>츠루미 다카후미 지음;박재현 옮김</t>
  </si>
  <si>
    <t>이상미디어</t>
  </si>
  <si>
    <t>JD0000024120</t>
  </si>
  <si>
    <t>(21세기 의학혁명) 줄기세포 의료</t>
  </si>
  <si>
    <t>테라오 토모히로 지음;심영기 옮김</t>
  </si>
  <si>
    <t>큰곰</t>
  </si>
  <si>
    <t>JD0000024121</t>
  </si>
  <si>
    <t>(실전편) 가장 쉬운 요리 교과서</t>
  </si>
  <si>
    <t>[반찬가게]편집부 지음;주부생활 사진팀;구자익</t>
  </si>
  <si>
    <t>반찬가게(학원사)</t>
  </si>
  <si>
    <t>JD0000024122</t>
  </si>
  <si>
    <t>(간고등어코치) 운동의 정석 : 신개념 몸짱다이어트 30일 플랜 = Diet plan for 30days</t>
  </si>
  <si>
    <t>최성조 지음</t>
  </si>
  <si>
    <t>JD0000024123</t>
  </si>
  <si>
    <t>간헐적 단식법 : 전세계 열풍! 5:2 다이어트</t>
  </si>
  <si>
    <t>마이클 모슬리 지음;미미 스펜서;이은경</t>
  </si>
  <si>
    <t>토네이도미디어그룹</t>
  </si>
  <si>
    <t>JD0000024124</t>
  </si>
  <si>
    <t>(악마가 준 선물)감자 이야기</t>
  </si>
  <si>
    <t>래리 주커먼 지음;박영준 옮김</t>
  </si>
  <si>
    <t>지호</t>
  </si>
  <si>
    <t>JD0000024125</t>
  </si>
  <si>
    <t>거부당한 몸 : 장애와 질병에 대한 여성주의 철학</t>
  </si>
  <si>
    <t>수전 웬델 지음;강진영;김은정;황지성 옮김</t>
  </si>
  <si>
    <t>JD0000024126</t>
  </si>
  <si>
    <t>건축학개론 기억의 공간 : 건축학개론에 담긴 나를 위한 공간의 재발견</t>
  </si>
  <si>
    <t>구승회 지음</t>
  </si>
  <si>
    <t>북하우스 퍼블리셔스</t>
  </si>
  <si>
    <t>JD0000024127</t>
  </si>
  <si>
    <t>고독한 엄마가 아이를 잘 키운다</t>
  </si>
  <si>
    <t>다케나가 노부유키 지음;김경은 옮김</t>
  </si>
  <si>
    <t>다산에듀</t>
  </si>
  <si>
    <t>JD0000024128</t>
  </si>
  <si>
    <t>JD0000024129</t>
  </si>
  <si>
    <t>고전 낭독하는 엄마, 철학하는 아이 : 내 아이 인생의 중심을 잡아주는 고전</t>
  </si>
  <si>
    <t>서상훈 지음</t>
  </si>
  <si>
    <t>소풍 출판사</t>
  </si>
  <si>
    <t>JD0000024130</t>
  </si>
  <si>
    <t>고혈압 치료, 나는 혈압약을 믿지 않는다</t>
  </si>
  <si>
    <t>선재광 지음</t>
  </si>
  <si>
    <t>JD0000024131</t>
  </si>
  <si>
    <t>공부 재능</t>
  </si>
  <si>
    <t>박인연 지음</t>
  </si>
  <si>
    <t>JD0000024132</t>
  </si>
  <si>
    <t>공업교육론 : 기본 이론서 = Industrial education</t>
  </si>
  <si>
    <t>유박사 편저</t>
  </si>
  <si>
    <t>열린교육</t>
  </si>
  <si>
    <t>JD0000024133</t>
  </si>
  <si>
    <t>귀여운 종이상자 만들기</t>
  </si>
  <si>
    <t>스기자키 메구미 지음;허앵두 옮김</t>
  </si>
  <si>
    <t>JD0000024134</t>
  </si>
  <si>
    <t>(그림으로 풀어쓴) 황제내경</t>
  </si>
  <si>
    <t>지토 편집부 풀어씀;홍순도;홍광훈 옮김</t>
  </si>
  <si>
    <t>JD0000024135</t>
  </si>
  <si>
    <t>글로벌 인재 학습법 : 서로 경쟁하는 당당한 인재로 키워라!</t>
  </si>
  <si>
    <t>조정주 지음</t>
  </si>
  <si>
    <t>담소(미디어윌)</t>
  </si>
  <si>
    <t>JD0000024136</t>
  </si>
  <si>
    <t>기적을 일으키는 마늘의 힘</t>
  </si>
  <si>
    <t>주부의벗사 지음;한재복 편역</t>
  </si>
  <si>
    <t>중앙생활사</t>
  </si>
  <si>
    <t>JD0000024137</t>
  </si>
  <si>
    <t>기적을 일으키는 야채수프 건강법</t>
  </si>
  <si>
    <t>다테이 시가즈 지음;임종삼 옮김</t>
  </si>
  <si>
    <t>JD0000024138</t>
  </si>
  <si>
    <t>길들이는 건축 길들여진 인간</t>
  </si>
  <si>
    <t>이상현 지음</t>
  </si>
  <si>
    <t>효형출판</t>
  </si>
  <si>
    <t>JD0000024139</t>
  </si>
  <si>
    <t>꼼꼼 요리백과 : 요리고수 뺨치는 부엌살림백과</t>
  </si>
  <si>
    <t>노다 지음;이호영 옮김</t>
  </si>
  <si>
    <t>JD0000024140</t>
  </si>
  <si>
    <t>나쁜 여자의 착한 요리 = One Plate</t>
  </si>
  <si>
    <t>올리비아 리 지음</t>
  </si>
  <si>
    <t>JD0000024141</t>
  </si>
  <si>
    <t>남편이 임신했어요</t>
  </si>
  <si>
    <t>존 페리;스티븐 미첼 [공]지음;박미경 옮김</t>
  </si>
  <si>
    <t>JD0000024142</t>
  </si>
  <si>
    <t>(톱모델 교수 9인이 알려주는) 내 아이 모델몸 만들기</t>
  </si>
  <si>
    <t>강신 [외] 지음</t>
  </si>
  <si>
    <t>엔터라이터</t>
  </si>
  <si>
    <t>JD0000024143</t>
  </si>
  <si>
    <t>(내 아이의 경제지능을 키워주는) 엄마경제학교</t>
  </si>
  <si>
    <t>박윤희 지음</t>
  </si>
  <si>
    <t>상상너머</t>
  </si>
  <si>
    <t>JD0000024144</t>
  </si>
  <si>
    <t>내 아이의 트라우마 : 우리 아이 마음의 상처 읽기와 치유하기</t>
  </si>
  <si>
    <t>배재현 지음</t>
  </si>
  <si>
    <t>에코포인트(mgt.)</t>
  </si>
  <si>
    <t>JD0000024145</t>
  </si>
  <si>
    <t>(내 아이의 해석능력을 키워주는) 균형독서법 : 빛고운의 독서능력 회복기, 이론편</t>
  </si>
  <si>
    <t>남상철 지음</t>
  </si>
  <si>
    <t>자상의 놀이터</t>
  </si>
  <si>
    <t>JD0000024146</t>
  </si>
  <si>
    <t>내 손으로 짓는 내 집 : 작은 집짓기 DIY</t>
  </si>
  <si>
    <t>저자: 권길상</t>
  </si>
  <si>
    <t>한문화사</t>
  </si>
  <si>
    <t>JD0000024147</t>
  </si>
  <si>
    <t>뇌를 젊게 하는 8가지 습관</t>
  </si>
  <si>
    <t>마이클 겔브;켈리 하월 지음;고빛샘 옮김</t>
  </si>
  <si>
    <t>청림life</t>
  </si>
  <si>
    <t>JD0000024148</t>
  </si>
  <si>
    <t>뇌의 가장 깊숙한 곳 : 30년간 임사체험과 영적 경험을 파헤친 뇌과학자의 대담한 기록</t>
  </si>
  <si>
    <t>케빈 넬슨 지음;전대호 옮김</t>
  </si>
  <si>
    <t>JD0000024149</t>
  </si>
  <si>
    <t>늦은 일곱시, 나를 만나는 시간 : 요가 치유 에세이</t>
  </si>
  <si>
    <t>최아룡 지음</t>
  </si>
  <si>
    <t>메디치미디어</t>
  </si>
  <si>
    <t>JD0000024150</t>
  </si>
  <si>
    <t>다시 보는 차 문화</t>
  </si>
  <si>
    <t>정병만 지음</t>
  </si>
  <si>
    <t>JD0000024151</t>
  </si>
  <si>
    <t>닥터맘 이유식 : 똑똑한 엄마의 선택</t>
  </si>
  <si>
    <t>닥터맘 지음</t>
  </si>
  <si>
    <t>리스컴</t>
  </si>
  <si>
    <t>JD0000024152</t>
  </si>
  <si>
    <t>러블리 리폼 A to Z</t>
  </si>
  <si>
    <t>최정라 지음</t>
  </si>
  <si>
    <t>즐거운상상</t>
  </si>
  <si>
    <t>JD0000024153</t>
  </si>
  <si>
    <t>(로레인 파스칼의) 30분 심플 베이킹</t>
  </si>
  <si>
    <t>로레인 파스칼 지음;옮긴이: 김채정</t>
  </si>
  <si>
    <t>JD0000024154</t>
  </si>
  <si>
    <t>마음을 담은 사찰 음식 : 사랑하는 이들과 마음과 맛을 나누는 따뜻하고 정갈한 사찰음식 레시피</t>
  </si>
  <si>
    <t>홍승스님;전효원 글.요리</t>
  </si>
  <si>
    <t>JD0000024155</t>
  </si>
  <si>
    <t>마흔 살의 다이어트 : 뇌의 메커니즘을 활용해 살을 뺀다!</t>
  </si>
  <si>
    <t>기타오리 하지메 지음;임정희</t>
  </si>
  <si>
    <t>이아소</t>
  </si>
  <si>
    <t>JD0000024156</t>
  </si>
  <si>
    <t>(항상 피곤한 당신을 위한) 만성피로 극복 프로젝트</t>
  </si>
  <si>
    <t>이동환 지음</t>
  </si>
  <si>
    <t>대림북스</t>
  </si>
  <si>
    <t>JD0000024157</t>
  </si>
  <si>
    <t>맛있는 요리에는 과학이 있다</t>
  </si>
  <si>
    <t>아라후네 요시타카 지음;김나나;주미경;이여주 공역</t>
  </si>
  <si>
    <t>JD0000024158</t>
  </si>
  <si>
    <t>명품 피부를 망치는 42가지 진실</t>
  </si>
  <si>
    <t>지은이: 정혜신;최지현</t>
  </si>
  <si>
    <t>JD0000024159</t>
  </si>
  <si>
    <t>무국적 요리 : 루시드폴 소설</t>
  </si>
  <si>
    <t>루시드폴 지음</t>
  </si>
  <si>
    <t>나무플러스나무</t>
  </si>
  <si>
    <t>JD0000024160</t>
  </si>
  <si>
    <t>미각의 지배 : 인간은 두뇌로 음식을 먹는다</t>
  </si>
  <si>
    <t>존 앨런 지음;윤태경 옮김</t>
  </si>
  <si>
    <t>미디어윌</t>
  </si>
  <si>
    <t>JD0000024161</t>
  </si>
  <si>
    <t>미친 농부의 순전한 기쁨</t>
  </si>
  <si>
    <t>조엘 샐러틴 지음;옮긴이: 유영훈</t>
  </si>
  <si>
    <t>JD0000024162</t>
  </si>
  <si>
    <t>(정원가드닝을 위한) 베란다 꽃밭 : 꽃, 허브, 야생화, 화초부터 다육식물까지</t>
  </si>
  <si>
    <t>이선영 지음</t>
  </si>
  <si>
    <t>로그인(이퍼블릭 코리아)</t>
  </si>
  <si>
    <t>JD0000024163</t>
  </si>
  <si>
    <t>병원 장사 : 대한민국 의료 상업화 보고서</t>
  </si>
  <si>
    <t>김기태 지음</t>
  </si>
  <si>
    <t>JD0000024164</t>
  </si>
  <si>
    <t>북한 식객 : 통일을 꿈꾸는 밥상</t>
  </si>
  <si>
    <t>이애란 지음</t>
  </si>
  <si>
    <t>JD0000024165</t>
  </si>
  <si>
    <t>사교육의 함정 : 학원에서는 절대 알려주지 않는</t>
  </si>
  <si>
    <t>이현택</t>
  </si>
  <si>
    <t>망므상자</t>
  </si>
  <si>
    <t>JD0000024166</t>
  </si>
  <si>
    <t>생선·해산물 수첩 : 바다 향 가득한 건강식품 66가지 = Gourmet guide to fresh fish</t>
  </si>
  <si>
    <t>황지희 지음</t>
  </si>
  <si>
    <t>JD0000024167</t>
  </si>
  <si>
    <t>생활건강 사용설명서 : 병원을 멀리하는 셀프(self) 건강법</t>
  </si>
  <si>
    <t>류영창 지음</t>
  </si>
  <si>
    <t>황금물고기</t>
  </si>
  <si>
    <t>JD0000024168</t>
  </si>
  <si>
    <t>서울을 먹다 : 음식으로 풀어낸 서울의 삶과 기억</t>
  </si>
  <si>
    <t>황교익;정은숙 지음</t>
  </si>
  <si>
    <t>따비</t>
  </si>
  <si>
    <t>JD0000024169</t>
  </si>
  <si>
    <t>설수현의 러브 소잉 : 엄마의 바느질</t>
  </si>
  <si>
    <t>설수현 지음</t>
  </si>
  <si>
    <t>롤윅스</t>
  </si>
  <si>
    <t>JD0000024170</t>
  </si>
  <si>
    <t>셰프의 탄생</t>
  </si>
  <si>
    <t>마이클 룰먼 지음;정현선 옮김</t>
  </si>
  <si>
    <t>JD0000024171</t>
  </si>
  <si>
    <t>소식구 밥상</t>
  </si>
  <si>
    <t>김정은 지음</t>
  </si>
  <si>
    <t>JD0000024172</t>
  </si>
  <si>
    <t>(손바느질로 만드는) 예쁜 옷 리폼 : 간단하게 만드는 리메이크 아이디어가 가득!</t>
  </si>
  <si>
    <t>다카하시 에미코 지음;홍희정 옮김</t>
  </si>
  <si>
    <t>JD0000024173</t>
  </si>
  <si>
    <t>(송학운 김옥경의) 암을 이긴 한 그릇 치유 밥상</t>
  </si>
  <si>
    <t>동녘라이프</t>
  </si>
  <si>
    <t>JD0000024174</t>
  </si>
  <si>
    <t>(숀리의) 남자 몸 만들기 : 진짜 남자 근육 완성하는 8주 덤벨 트레이닝</t>
  </si>
  <si>
    <t>숀리 지음</t>
  </si>
  <si>
    <t>삼성출판사</t>
  </si>
  <si>
    <t>JD0000024175</t>
  </si>
  <si>
    <t>(먹으면서 살빼는) 숀리의 작심삼일 다이어트 : 하루 6분 운동 하루 한끼의 기적</t>
  </si>
  <si>
    <t>미르북컴퍼니</t>
  </si>
  <si>
    <t>JD0000024176</t>
  </si>
  <si>
    <t>수의사, 길에서 청춘을 만나다 : 별난 수의사 영광이의 무한도전</t>
  </si>
  <si>
    <t>조영광 지음</t>
  </si>
  <si>
    <t>다할미디어</t>
  </si>
  <si>
    <t>JD0000024177</t>
  </si>
  <si>
    <t>숙제 다 했니? : 자기주도학습으로 이끄는 숙제비법</t>
  </si>
  <si>
    <t>엘케 빌트 지음;모니카 람머트;옮긴이: 김현천</t>
  </si>
  <si>
    <t>피피엔</t>
  </si>
  <si>
    <t>JD0000024178</t>
  </si>
  <si>
    <t>쉬운 국수 : 한 권으로 끝내는 대한민국 대표 국수 요리</t>
  </si>
  <si>
    <t>김정은;한정수 지음</t>
  </si>
  <si>
    <t>JD0000024179</t>
  </si>
  <si>
    <t>(쉽고 실전에 강한) 발명특허학 실무 : 한국발명교육학회 '발명특허교육사' 양성 교재</t>
  </si>
  <si>
    <t>윤상원 지음</t>
  </si>
  <si>
    <t>발행처불명]</t>
  </si>
  <si>
    <t>JD0000024180</t>
  </si>
  <si>
    <t>스님의 자녀 수업 : 내 아이가 행복해지는 템플스테이식 교육법</t>
  </si>
  <si>
    <t>승한</t>
  </si>
  <si>
    <t>경향에듀(경향미디어)</t>
  </si>
  <si>
    <t>JD0000024181</t>
  </si>
  <si>
    <t>스크린 골프 정복하기 : 아마추어 골퍼들을 위한 스크린 골프의 비법전수! = Screen golf master</t>
  </si>
  <si>
    <t>박세규</t>
  </si>
  <si>
    <t>오성출판사</t>
  </si>
  <si>
    <t>JD0000024182</t>
  </si>
  <si>
    <t>스틸 미싱 : 체비 스티븐스 장편소설</t>
  </si>
  <si>
    <t>체비 스티븐스 지음;노지양 옮김</t>
  </si>
  <si>
    <t>JD0000024183</t>
  </si>
  <si>
    <t>슬로우 육아 : 수천 년 육아 역사에서 찾은 자녀 교육의 해답</t>
  </si>
  <si>
    <t>헤르베르트 렌츠 폴스터 지음;신홍민 옮김</t>
  </si>
  <si>
    <t>JD0000024184</t>
  </si>
  <si>
    <t>식탁 위의 대표선수</t>
  </si>
  <si>
    <t>지식활동가그룹21 지음;대표필자: 풀과별</t>
  </si>
  <si>
    <t>문화발전</t>
  </si>
  <si>
    <t>JD0000024185</t>
  </si>
  <si>
    <t>심리로 보는 다이어트 성공법 : 살 빼고 싶다면 내 마음을 먼저 진단하라!</t>
  </si>
  <si>
    <t>김명찬 지음</t>
  </si>
  <si>
    <t>넥서스BOOK</t>
  </si>
  <si>
    <t>JD0000024186</t>
  </si>
  <si>
    <t>심리문제를 일으키는 신체질환 : 정신증상을 바라보는 또 다른 시각</t>
  </si>
  <si>
    <t>제임스 모리슨 지음;이한구 옮김</t>
  </si>
  <si>
    <t>황금시간</t>
  </si>
  <si>
    <t>JD0000024187</t>
  </si>
  <si>
    <t>아름다운 자수 : 자수 DIY = Beautiful embroidery</t>
  </si>
  <si>
    <t>이승희 지음</t>
  </si>
  <si>
    <t>JD0000024188</t>
  </si>
  <si>
    <t>아이는 부모 대신 마음의 병을 앓는다</t>
  </si>
  <si>
    <t>다카하시 카즈미 지음;이수경 옮김</t>
  </si>
  <si>
    <t>시루</t>
  </si>
  <si>
    <t>JD0000024189</t>
  </si>
  <si>
    <t>아이는 언제나 옳다</t>
  </si>
  <si>
    <t>천근아 지음</t>
  </si>
  <si>
    <t>JD0000024190</t>
  </si>
  <si>
    <t>아이는 커 가는데 부모는 똑같은 말만 한다 : 아이와 함께 성장하는 부모 대화법</t>
  </si>
  <si>
    <t>이임숙 지음</t>
  </si>
  <si>
    <t>JD0000024191</t>
  </si>
  <si>
    <t>(우리 아이 잘 먹게 해주세요) 아이요리 : 우리 아이 잘 먹게 해주세요</t>
  </si>
  <si>
    <t>이미경;최여진;하정호;황승희 지음</t>
  </si>
  <si>
    <t>상상출판</t>
  </si>
  <si>
    <t>JD0000024192</t>
  </si>
  <si>
    <t>아이의 가능성</t>
  </si>
  <si>
    <t>장유경 지음</t>
  </si>
  <si>
    <t>JD0000024193</t>
  </si>
  <si>
    <t>(내 아이의 평생행복을 결정하는) 아이의 뇌 = (The) whole brain approach</t>
  </si>
  <si>
    <t>김붕년 지음</t>
  </si>
  <si>
    <t>국민출판사</t>
  </si>
  <si>
    <t>JD0000024194</t>
  </si>
  <si>
    <t>(병 안 걸리고 면역력 높이는) 아침 5분 건강법</t>
  </si>
  <si>
    <t>이시하라 유미 지음;이정은 옮김</t>
  </si>
  <si>
    <t>아이콘북스</t>
  </si>
  <si>
    <t>JD0000024195</t>
  </si>
  <si>
    <t>아톱푸드 힐링밥상 : 우리 가족 아토피를 위한 100가지 제철 요리 = Healing foods for atopic family</t>
  </si>
  <si>
    <t>강석아 지음</t>
  </si>
  <si>
    <t>광문각</t>
  </si>
  <si>
    <t>JD0000024196</t>
  </si>
  <si>
    <t>아프니까 스트레칭 : 근골격계 퇴행성 예방을 위한 자가임상 스트레칭</t>
  </si>
  <si>
    <t>문훈기 지음</t>
  </si>
  <si>
    <t>좋은예감</t>
  </si>
  <si>
    <t>JD0000024197</t>
  </si>
  <si>
    <t>암, 효소로 풀다 : 효소를 사랑하는 사람의 암 치유 이야기</t>
  </si>
  <si>
    <t>박국문 지음</t>
  </si>
  <si>
    <t>헬스레터</t>
  </si>
  <si>
    <t>JD0000024198</t>
  </si>
  <si>
    <t>JD0000024199</t>
  </si>
  <si>
    <t>(약사가 알려주는) 대한민국 약의 비밀 : 이제 자신의 건강을 직접 지켜라!</t>
  </si>
  <si>
    <t>김정환 지음</t>
  </si>
  <si>
    <t>JD0000024200</t>
  </si>
  <si>
    <t>JD0000024201</t>
  </si>
  <si>
    <t>(엄마 생각나는) 손맛밥상</t>
  </si>
  <si>
    <t>김외순;김영빈 [공]요리</t>
  </si>
  <si>
    <t>반찬가게</t>
  </si>
  <si>
    <t>JD0000024202</t>
  </si>
  <si>
    <t>엄마라서 다행이다 : 처음 엄마를 위한 이야기 힐링</t>
  </si>
  <si>
    <t>잭 캔필드 외 지음;공경희 옮김</t>
  </si>
  <si>
    <t>아침나무</t>
  </si>
  <si>
    <t>JD0000024203</t>
  </si>
  <si>
    <t>엄마의 착각이 아이를 망친다 : 0세부터 대학생까지</t>
  </si>
  <si>
    <t>한미애 지음</t>
  </si>
  <si>
    <t>일상이상</t>
  </si>
  <si>
    <t>JD0000024204</t>
  </si>
  <si>
    <t>오래 앉는 아이 : 산만한 내 아이 집중력과 끈기를 높이는 엉덩이 공부법</t>
  </si>
  <si>
    <t>사이토 다카시 지음;황혜숙 옮김</t>
  </si>
  <si>
    <t>JD0000024205</t>
  </si>
  <si>
    <t>우리 아이, 왜 이해력이 부족할까?</t>
  </si>
  <si>
    <t>서울초등상담연구회 지음</t>
  </si>
  <si>
    <t>아주좋은날</t>
  </si>
  <si>
    <t>JD0000024206</t>
  </si>
  <si>
    <t>우리 아이 조기교육보다 먼저 사회성을 키워라! : 사회성이 아이의 미래를 결정한다</t>
  </si>
  <si>
    <t>김해경 지음;신웅 그림</t>
  </si>
  <si>
    <t>월송주니어</t>
  </si>
  <si>
    <t>JD0000024207</t>
  </si>
  <si>
    <t>(1,000원 씨앗으로 가꾸는) 우리 집 채소밭</t>
  </si>
  <si>
    <t>이토 류조 지음;이용택 옮</t>
  </si>
  <si>
    <t>미호(시공사)</t>
  </si>
  <si>
    <t>JD0000024208</t>
  </si>
  <si>
    <t>우리 아이 예쁜 몸매 만드는 비결 35 : 일본 최고의 모델 야마다 유를 키워낸 억척 엄마의 실전 노하우</t>
  </si>
  <si>
    <t>야마다 미카코 지음;송효선옮김</t>
  </si>
  <si>
    <t>JD0000024209</t>
  </si>
  <si>
    <t>우리집 다육식물 이름알기 : 백과사전 만만치 않은 우리집 다육식물 500여종 A~Z 완전정복하기</t>
  </si>
  <si>
    <t>원종희 건설 현장과 나;월간 플로라 편집부;이종택</t>
  </si>
  <si>
    <t>플로라</t>
  </si>
  <si>
    <t>JD0000024210</t>
  </si>
  <si>
    <t>우유의 독 : 내 몸을 망치는 11가지 이유</t>
  </si>
  <si>
    <t>프랭크 오스키 지음;이효순 옮김</t>
  </si>
  <si>
    <t>JD0000024211</t>
  </si>
  <si>
    <t>월드피스 다이어트 : 세상을 구원하는 음식 혁명</t>
  </si>
  <si>
    <t>윌 터틀 지음;김재성 옮김</t>
  </si>
  <si>
    <t>황소자리 출판사</t>
  </si>
  <si>
    <t>JD0000024212</t>
  </si>
  <si>
    <t>유럽, 빵의 위로 : 폭폭한 일상을 달달하게 만들어 주는 나만의 빵 테라피</t>
  </si>
  <si>
    <t>구현정 지음</t>
  </si>
  <si>
    <t>JD0000024213</t>
  </si>
  <si>
    <t>유진's 뷰티레시피 : 내 피부에 맞는 화장품, 내 손으로 만든다 = Eugene's Beauty Recipe</t>
  </si>
  <si>
    <t>유진 지음</t>
  </si>
  <si>
    <t>페이퍼북</t>
  </si>
  <si>
    <t>JD0000024214</t>
  </si>
  <si>
    <t>음식이 병을 만들고 음식이 병을 고친다 : 몸을 살리는 음식은 따로 있다</t>
  </si>
  <si>
    <t>이시하라 유미 지음;장은정 옮김</t>
  </si>
  <si>
    <t>삼호미디어</t>
  </si>
  <si>
    <t>JD0000024215</t>
  </si>
  <si>
    <t>의대담 : 교양인을 위한 의학과 의료현실 이야기</t>
  </si>
  <si>
    <t>지은이: 황상익;강신익</t>
  </si>
  <si>
    <t>JD0000024216</t>
  </si>
  <si>
    <t>자녀의 기(氣)를 살리는 독일 엄마 엿보기 : 드라이커스 이론의 실천 경험담 130개</t>
  </si>
  <si>
    <t>바바라 헤닝스;기젤라 니뮐러 지음;이기숙;류경은 옮김</t>
  </si>
  <si>
    <t>JD0000024217</t>
  </si>
  <si>
    <t>(작심삼일에서 벗어나려면 반드시 알아야 할) 뇌 이야기</t>
  </si>
  <si>
    <t>JD0000024218</t>
  </si>
  <si>
    <t>장은옥의 플라워 브런치</t>
  </si>
  <si>
    <t>장은옥 지음</t>
  </si>
  <si>
    <t>수풀미디어</t>
  </si>
  <si>
    <t>JD0000024219</t>
  </si>
  <si>
    <t>젊은 목수들 : 우리 시대의 새로운 가구 제작 스튜디오를 찾아서</t>
  </si>
  <si>
    <t>프로파간다 프레스 [편]</t>
  </si>
  <si>
    <t>프로파간다 프레스</t>
  </si>
  <si>
    <t>JD0000024220</t>
  </si>
  <si>
    <t>제주를 맛보다 : 제주사람들이 즐겨 찾는 제주의 대표 맛집 탐방기</t>
  </si>
  <si>
    <t>강석균 지음</t>
  </si>
  <si>
    <t>JD0000024221</t>
  </si>
  <si>
    <t>조금 지저분하게 살면 면역력이 5배 높아진다</t>
  </si>
  <si>
    <t>후지타 고이치로 지음;노경아 옮김</t>
  </si>
  <si>
    <t>JD0000024222</t>
  </si>
  <si>
    <t>(좁은 집 넓게 쓰는) 정리의 기술</t>
  </si>
  <si>
    <t>카와카미 유키 지음;이예린 옮김</t>
  </si>
  <si>
    <t>리스컴(에르디아)</t>
  </si>
  <si>
    <t>JD0000024223</t>
  </si>
  <si>
    <t>주거 인테리어 해부도감</t>
  </si>
  <si>
    <t>마쓰시타 기와 지음;황선종 옮김</t>
  </si>
  <si>
    <t>JD0000024224</t>
  </si>
  <si>
    <t>줄 서서 먹는 반찬가게 : 600여개 기업과 대형 프랜차이즈의 연수 요청이 쇄도하는 시골 가게!</t>
  </si>
  <si>
    <t>사토 게이지 지음;김경은 옮김</t>
  </si>
  <si>
    <t>JD0000024225</t>
  </si>
  <si>
    <t>즐거운 양육 혁명 : 과잉보호와 소비문화에서 아이들을 살리는 젊은 부모들의 반란</t>
  </si>
  <si>
    <t>톰 호지킨슨 지음;문은실 옮김</t>
  </si>
  <si>
    <t>JD0000024226</t>
  </si>
  <si>
    <t>진짜 기본 요리책 : 진짜 쉽~고 진짜 맛있고 진짜 정확한 기본 레시피 306개</t>
  </si>
  <si>
    <t>따라하는 요리잡지 월간〈수퍼레시피〉;신채영;송미성</t>
  </si>
  <si>
    <t>레시피팩토리</t>
  </si>
  <si>
    <t>JD0000024227</t>
  </si>
  <si>
    <t>착한 수학 : 아이와 부모 모두가 행복한 초등 수학 혁명!</t>
  </si>
  <si>
    <t>최수일 지음</t>
  </si>
  <si>
    <t>비아북</t>
  </si>
  <si>
    <t>JD0000024228</t>
  </si>
  <si>
    <t>채소 재배 교과서 : 텃밭 초보자도 100% 성공하는 친절한 가이드 북</t>
  </si>
  <si>
    <t>후지타 사토시 지음;도현정 옮김</t>
  </si>
  <si>
    <t>스타일북스(한국물가정보)</t>
  </si>
  <si>
    <t>JD0000024229</t>
  </si>
  <si>
    <t>채식 밥상 : 우리집 밥상에서 시작하는 내 몸 혁명</t>
  </si>
  <si>
    <t>신진영 지음</t>
  </si>
  <si>
    <t>경향미디어</t>
  </si>
  <si>
    <t>JD0000024230</t>
  </si>
  <si>
    <t>첫아이 초등학교 보내기</t>
  </si>
  <si>
    <t>베스트베이비 편집부</t>
  </si>
  <si>
    <t>BBbooks</t>
  </si>
  <si>
    <t>JD0000024231</t>
  </si>
  <si>
    <t>JD0000024232</t>
  </si>
  <si>
    <t>(초등 1~2학년 교과서 잡는) 엄마표 독서 놀이</t>
  </si>
  <si>
    <t>황연희 지음</t>
  </si>
  <si>
    <t>책읽는달</t>
  </si>
  <si>
    <t>JD0000024233</t>
  </si>
  <si>
    <t>최고의 영어교사, 초등편</t>
  </si>
  <si>
    <t>EBS최고의 영어교사 제작팀 제작</t>
  </si>
  <si>
    <t>BLUETREE</t>
  </si>
  <si>
    <t>JD0000024234</t>
  </si>
  <si>
    <t>칭찬이 아이를 망친다 : 내 아이를 변화시키는 감정 코칭 대화법!</t>
  </si>
  <si>
    <t>기시 히데미쓰 지음;이지현 옮김</t>
  </si>
  <si>
    <t>for book</t>
  </si>
  <si>
    <t>JD0000024235</t>
  </si>
  <si>
    <t>카네기 자녀 코칭 : 100년 전통 코칭의 원조 데일 카네기가 최초로 말하는 자녀교육법</t>
  </si>
  <si>
    <t>어거스트 홍 지음</t>
  </si>
  <si>
    <t>흐름출판</t>
  </si>
  <si>
    <t>JD0000024236</t>
  </si>
  <si>
    <t>(소금 1g감량으로 체중 10kg감량하는) 타니타 저염식 다이어트 레시피</t>
  </si>
  <si>
    <t>타니타;오기노 나나코;지희정</t>
  </si>
  <si>
    <t>JD0000024237</t>
  </si>
  <si>
    <t>프로의 메이크업을 훔쳐라 : 기초부터 완벽 메이크업까지</t>
  </si>
  <si>
    <t>수경 지음;순수 메이크업팀</t>
  </si>
  <si>
    <t>JD0000024238</t>
  </si>
  <si>
    <t>하늘을 꿈꾸는 자, 전투조종사</t>
  </si>
  <si>
    <t>김현 지음</t>
  </si>
  <si>
    <t>기파랑</t>
  </si>
  <si>
    <t>JD0000024239</t>
  </si>
  <si>
    <t>(한국인이 즐겨찾는) 매일 레시피 : 국민 요리샘 이보은의 실패 없는 요리 비결</t>
  </si>
  <si>
    <t>이보은 지음</t>
  </si>
  <si>
    <t>비타북스 헬스조선</t>
  </si>
  <si>
    <t>JD0000024240</t>
  </si>
  <si>
    <t>(5주간 7kg 감량하고, 변비·고혈압·당뇨 잡는) 현미채식 다이어트</t>
  </si>
  <si>
    <t>안재홍;백운경;송진욱 지음</t>
  </si>
  <si>
    <t>JD0000024241</t>
  </si>
  <si>
    <t>혈관을 의심하라 : 당신이 자꾸 아픈 진짜 이유</t>
  </si>
  <si>
    <t>한동하 지음</t>
  </si>
  <si>
    <t>JD0000024242</t>
  </si>
  <si>
    <t>화초 기르기를 시작하다 : 초보자를 위한 꼼꼼 가이드북</t>
  </si>
  <si>
    <t>전영은 지음</t>
  </si>
  <si>
    <t>하서</t>
  </si>
  <si>
    <t>JD0000024243</t>
  </si>
  <si>
    <t>환경 커뮤니케이션</t>
  </si>
  <si>
    <t>로버트 콕스 지음;김남수;김찬국;황세영 지음</t>
  </si>
  <si>
    <t>JD0000024244</t>
  </si>
  <si>
    <t>(MT) 의류학</t>
  </si>
  <si>
    <t>채금석 지음</t>
  </si>
  <si>
    <t>청어람장서가</t>
  </si>
  <si>
    <t>JD0000024245</t>
  </si>
  <si>
    <t>그림에게 나를 맡기다</t>
  </si>
  <si>
    <t>함정임 지음</t>
  </si>
  <si>
    <t>마로니에북스</t>
  </si>
  <si>
    <t>JD0000024246</t>
  </si>
  <si>
    <t>나는 오늘도 유럽에서 클래식을 듣는다 : 테너 하석배의 힐링 클래식</t>
  </si>
  <si>
    <t>하석배 지음</t>
  </si>
  <si>
    <t>인디고</t>
  </si>
  <si>
    <t>JD0000024247</t>
  </si>
  <si>
    <t>나쁜 세상의 영화사회학 : 21세기 한국영화와 시대의 증후</t>
  </si>
  <si>
    <t>김경욱 지음</t>
  </si>
  <si>
    <t>JD0000024248</t>
  </si>
  <si>
    <t>내 생애의 산들</t>
  </si>
  <si>
    <t>발터 보나티 저;김영도 옮김</t>
  </si>
  <si>
    <t>JD0000024249</t>
  </si>
  <si>
    <t>뒤샹은 왜 변기에 사인을 했을까? : 신나는 명화 여행</t>
  </si>
  <si>
    <t>호세 안토니오 마리나;안토니오 밍고테 그림;김영주 옮김</t>
  </si>
  <si>
    <t>풀빛</t>
  </si>
  <si>
    <t>JD0000024250</t>
  </si>
  <si>
    <t>런던 수집 : 디자인 놀이터 런던에서 수집한 27가지 디자인 이야기</t>
  </si>
  <si>
    <t>이은이;김철환 지음</t>
  </si>
  <si>
    <t>세미콜론(반비)</t>
  </si>
  <si>
    <t>JD0000024251</t>
  </si>
  <si>
    <t>류중일 업포스 리더십 : Up-force</t>
  </si>
  <si>
    <t>이상화 지음</t>
  </si>
  <si>
    <t>머니플러스</t>
  </si>
  <si>
    <t>JD0000024252</t>
  </si>
  <si>
    <t>린새너티 : NBA를 열광시킨 아시안 제레미 린</t>
  </si>
  <si>
    <t>마이크 요키 지음;최요한 옮김</t>
  </si>
  <si>
    <t>홍성사</t>
  </si>
  <si>
    <t>JD0000024253</t>
  </si>
  <si>
    <t>모던 디자인의 선구자들 : 윌리엄 모리스에서 발터 그로피우스까지</t>
  </si>
  <si>
    <t>니콜라우스 페브스너 지음;권재식;김장훈;안영진 옮김</t>
  </si>
  <si>
    <t>JD0000024254</t>
  </si>
  <si>
    <t>문화와 미술 : 문명의 탄생부터 포스트모더니즘까지 서양 미술사를 읽다 = Culture and art</t>
  </si>
  <si>
    <t>박일호 지음</t>
  </si>
  <si>
    <t>JD0000024255</t>
  </si>
  <si>
    <t>(봉중근의) 야구공 실밥 터지는 소리</t>
  </si>
  <si>
    <t>봉중근;최종선 지음</t>
  </si>
  <si>
    <t>JD0000024256</t>
  </si>
  <si>
    <t>(아기자기 귀여운) 색연필 일러스트 : easy colored pencil</t>
  </si>
  <si>
    <t>서여진 지음</t>
  </si>
  <si>
    <t>JD0000024257</t>
  </si>
  <si>
    <t>선비의 멋 규방의 맛 : 고문서로 읽는 조선의 음식문화</t>
  </si>
  <si>
    <t>이숙인;김미영;김종덕;주영하;정혜경 지음</t>
  </si>
  <si>
    <t>JD0000024258</t>
  </si>
  <si>
    <t>세상에서 가장 따뜻한 발레수업 : 제임스전의 아름다운 사람 이야기</t>
  </si>
  <si>
    <t>최희선 [외] 지음</t>
  </si>
  <si>
    <t>퍼플카우</t>
  </si>
  <si>
    <t>JD0000024259</t>
  </si>
  <si>
    <t>소요유, 장자의 미학</t>
  </si>
  <si>
    <t>왕카이 지음;신정근 기획;신정근;강효석;김선창 [공]옮김</t>
  </si>
  <si>
    <t>성균관대학교출판부</t>
  </si>
  <si>
    <t>JD0000024260</t>
  </si>
  <si>
    <t>스포츠콘텐츠의 이해 = (The) understanding of sports contents</t>
  </si>
  <si>
    <t>김성길 지음</t>
  </si>
  <si>
    <t>JD0000024261</t>
  </si>
  <si>
    <t>오월의 미학, 뜨거운 가슴으로 여는 새벽 : 한국 리얼리즘 미술 30인</t>
  </si>
  <si>
    <t>장경화 지음</t>
  </si>
  <si>
    <t>JD0000024262</t>
  </si>
  <si>
    <t>왜 그 이야기는 음악이 되었을까 : 아름다운 멜로디 뒤에 가리어진 반전 스토리</t>
  </si>
  <si>
    <t>이민희 지음</t>
  </si>
  <si>
    <t>JD0000024263</t>
  </si>
  <si>
    <t>우리 시대의 가무악 : 전통을 이어가는 예인들</t>
  </si>
  <si>
    <t>정범태;정운아 공저;정범태 사진</t>
  </si>
  <si>
    <t>JD0000024264</t>
  </si>
  <si>
    <t>운동 누구 말이 맞는 거에요?</t>
  </si>
  <si>
    <t>이중원 지음</t>
  </si>
  <si>
    <t>법문에듀케이션</t>
  </si>
  <si>
    <t>JD0000024265</t>
  </si>
  <si>
    <t>위기 탈출 생존 교과서 : 위험한 상황에서 살아남는 법</t>
  </si>
  <si>
    <t>조슈아 피븐;데이비드 보르게닉트 지음;문은실 옮김</t>
  </si>
  <si>
    <t>JD0000024266</t>
  </si>
  <si>
    <t>자전거정비 분해조립편</t>
  </si>
  <si>
    <t>장기철 지음</t>
  </si>
  <si>
    <t>크라운출판</t>
  </si>
  <si>
    <t>JD0000024267</t>
  </si>
  <si>
    <t>죽기 전에 꼭 들어야 할 팝송 1001</t>
  </si>
  <si>
    <t>로버트 다이머리 지음;이문희 옮김</t>
  </si>
  <si>
    <t>JD0000024268</t>
  </si>
  <si>
    <t>중국 현대 미학사 : 중국 근현대 사상가 11인의 심미적 사유, 중국편</t>
  </si>
  <si>
    <t>장치췬 지음;신정근 책임번역;안인환;송인재 [공]옮김</t>
  </si>
  <si>
    <t>JD0000024269</t>
  </si>
  <si>
    <t>처음 배우는 스노보드 매뉴얼 = Snowboard manual</t>
  </si>
  <si>
    <t>묘코산 스노보드 스쿨 지음;이윤혜 옮김</t>
  </si>
  <si>
    <t>JD0000024270</t>
  </si>
  <si>
    <t>카메라 상식사전 : 경이롭고 아름다운 도구에 관한 이야기</t>
  </si>
  <si>
    <t>로저 프링 지음;최수임 옮김</t>
  </si>
  <si>
    <t>JD0000024271</t>
  </si>
  <si>
    <t>칼라스의 영욕 : '디바'도 내팽개치고 사랑에 목숨 걸었건만</t>
  </si>
  <si>
    <t>한상희 지음</t>
  </si>
  <si>
    <t>JD0000024272</t>
  </si>
  <si>
    <t>캐나다 미술여행 : 토론토 오타와 몬트리올 퀘벡 밴쿠버 + USA</t>
  </si>
  <si>
    <t>저자: 강주연</t>
  </si>
  <si>
    <t>토담미디어</t>
  </si>
  <si>
    <t>JD0000024273</t>
  </si>
  <si>
    <t>팀 홍명보호 스토리 : 감독 홍명보와 국가대표 선수들이 펼친 1271일간의 대장정</t>
  </si>
  <si>
    <t>도영인 지음</t>
  </si>
  <si>
    <t>JD0000024274</t>
  </si>
  <si>
    <t>파란달의 작은 홈 카페 : 카페처럼 사랑스럽고 집밥처럼 따뜻한 요리</t>
  </si>
  <si>
    <t>정영선</t>
  </si>
  <si>
    <t>나무수</t>
  </si>
  <si>
    <t>JD0000024275</t>
  </si>
  <si>
    <t>퍼핀 북디자인 : 상상력의 70년 1940-2010</t>
  </si>
  <si>
    <t>필 베인스 지음;신혜정 옮김</t>
  </si>
  <si>
    <t>JD0000024276</t>
  </si>
  <si>
    <t>한국 근대 극장예술과 취미 담론 = Modern Korean theatrical arts and the discourse of 'Chwimi(趣味)'</t>
  </si>
  <si>
    <t>지은이: 문경연</t>
  </si>
  <si>
    <t>소명출판</t>
  </si>
  <si>
    <t>JD0000024277</t>
  </si>
  <si>
    <t>한국미술 특강 : 구석기 시대에서 조선시대까지 특별한 우리 미술 이야기</t>
  </si>
  <si>
    <t>김남희 지음</t>
  </si>
  <si>
    <t>계명대학교출판부</t>
  </si>
  <si>
    <t>JD0000024278</t>
  </si>
  <si>
    <t>핸드메이드 천연비누 : 자연이 주는 피부 힐링 = Natural Soap</t>
  </si>
  <si>
    <t>아사노 사오리 지음;박유미 옮김</t>
  </si>
  <si>
    <t>Green Home(동학사)</t>
  </si>
  <si>
    <t>JD0000024279</t>
  </si>
  <si>
    <t>(독학) 영어회화 끝장레슨 : 50일 정복!</t>
  </si>
  <si>
    <t>지은이: 오석태</t>
  </si>
  <si>
    <t>종합출판 EnG</t>
  </si>
  <si>
    <t>JD0000024280</t>
  </si>
  <si>
    <t>네이티브와 통하는 新 영어회화 사전</t>
  </si>
  <si>
    <t>더 콜링 지음</t>
  </si>
  <si>
    <t>Language Books</t>
  </si>
  <si>
    <t>JD0000024281</t>
  </si>
  <si>
    <t>(손쉽게 끝내는) 新영어회화 표현백서</t>
  </si>
  <si>
    <t>랭귀지북스</t>
  </si>
  <si>
    <t>JD0000024282</t>
  </si>
  <si>
    <t>(영어로 읽는) 세계 롤모델 50인. 1, 문학/예술/사회 편</t>
  </si>
  <si>
    <t>재키 신 지음</t>
  </si>
  <si>
    <t>하이라이츠</t>
  </si>
  <si>
    <t>JD0000024283</t>
  </si>
  <si>
    <t>(영어로 읽는) 세계 롤모델 50인. 2, 문학/예술/사회 편</t>
  </si>
  <si>
    <t>JD0000024284</t>
  </si>
  <si>
    <t>(청소년을 위한) 한자 읽기 혁명</t>
  </si>
  <si>
    <t>박만경 편저</t>
  </si>
  <si>
    <t>자우공부</t>
  </si>
  <si>
    <t>JD0000024285</t>
  </si>
  <si>
    <t>(단어만으로도 대화가 되는) 10자 이내로 배우는 일본어</t>
  </si>
  <si>
    <t>천채정 지음</t>
  </si>
  <si>
    <t>JD0000024286</t>
  </si>
  <si>
    <t>EBS 기초 English Speaking : 한국문화 편</t>
  </si>
  <si>
    <t>이현석 지음</t>
  </si>
  <si>
    <t>두산동아</t>
  </si>
  <si>
    <t>JD0000024287</t>
  </si>
  <si>
    <t>교환학생 완전정복 : 교환학생에 관한 A to Z</t>
  </si>
  <si>
    <t>박솔희;양상준 지음</t>
  </si>
  <si>
    <t>꿈의지도</t>
  </si>
  <si>
    <t>JD0000024288</t>
  </si>
  <si>
    <t>나도 잘 쓰고 싶다 : 문장 강화를 위한 국어 사용 설명서</t>
  </si>
  <si>
    <t>허재영 지음</t>
  </si>
  <si>
    <t>행성비</t>
  </si>
  <si>
    <t>JD0000024289</t>
  </si>
  <si>
    <t>(중국인처럼 발음하고 표현하는) 네이티브 중국어 : 중국어의 정확한 쓰임과 뉘앙스까지 확실하게 배운다!</t>
  </si>
  <si>
    <t>설우진 지음</t>
  </si>
  <si>
    <t>JD0000024290</t>
  </si>
  <si>
    <t>(다시 시작하는) 청춘 영어 : 어른신을 위한 친절한 영어 교과서</t>
  </si>
  <si>
    <t>박경미;김지연 지음</t>
  </si>
  <si>
    <t>다락원</t>
  </si>
  <si>
    <t>JD0000024291</t>
  </si>
  <si>
    <t>레 미제라블 명문 명대사</t>
  </si>
  <si>
    <t>빅토르 위고 지음;베스트트랜스 엮음;에밀 바야르 외 그림</t>
  </si>
  <si>
    <t>미르에듀</t>
  </si>
  <si>
    <t>JD0000024292</t>
  </si>
  <si>
    <t>숨통이 톡 트이는 영어 : 대표 영어 핵심 패턴으로 기초 영어 회화 정복!</t>
  </si>
  <si>
    <t>이충훈 지음</t>
  </si>
  <si>
    <t>JD0000024293</t>
  </si>
  <si>
    <t>스마트 독일어 = Smart Deutsch</t>
  </si>
  <si>
    <t>남유선 지음</t>
  </si>
  <si>
    <t>유로서적</t>
  </si>
  <si>
    <t>JD0000024294</t>
  </si>
  <si>
    <t>스토리텔링 보카강사 되다 = Storytelling vocabulary</t>
  </si>
  <si>
    <t>지은이: E-field Academy</t>
  </si>
  <si>
    <t>위아북스</t>
  </si>
  <si>
    <t>[2013]</t>
  </si>
  <si>
    <t>JD0000024295</t>
  </si>
  <si>
    <t>언어학과 번역 언어</t>
  </si>
  <si>
    <t>키르스턴 말크제어 지음;박기성;최진실 옮김</t>
  </si>
  <si>
    <t>동인</t>
  </si>
  <si>
    <t>JD0000024296</t>
  </si>
  <si>
    <t>영어 15세 전에 꼭 끝내라!</t>
  </si>
  <si>
    <t>정찬용 지음</t>
  </si>
  <si>
    <t>싱크스마트</t>
  </si>
  <si>
    <t>JD0000024297</t>
  </si>
  <si>
    <t>영어토론, 절대 어렵지 않아요</t>
  </si>
  <si>
    <t>YTN 엮음</t>
  </si>
  <si>
    <t>평민사</t>
  </si>
  <si>
    <t>JD0000024298</t>
  </si>
  <si>
    <t>(영어가 만만하다) 영어회화 패턴 200 = English conversation pattern 200</t>
  </si>
  <si>
    <t>누리컨텐츠 저</t>
  </si>
  <si>
    <t>리브리언</t>
  </si>
  <si>
    <t>JD0000024299</t>
  </si>
  <si>
    <t>왕초보 영어회화 표현사전 = English Conversation for Beginners</t>
  </si>
  <si>
    <t>박준영 지음</t>
  </si>
  <si>
    <t>LanCom</t>
  </si>
  <si>
    <t>JD0000024300</t>
  </si>
  <si>
    <t>우리는 지금 영국으로 간다</t>
  </si>
  <si>
    <t>양건희 저</t>
  </si>
  <si>
    <t>아이생각</t>
  </si>
  <si>
    <t>JD0000024301</t>
  </si>
  <si>
    <t>우리는 지금 호주로 간다</t>
  </si>
  <si>
    <t>김세윤 저</t>
  </si>
  <si>
    <t>JD0000024302</t>
  </si>
  <si>
    <t>(30일 매일매일 혼자서 끝내는) 일상생활 중국어 스피킹 : 왕초보도 바로 써먹을 수 있다!</t>
  </si>
  <si>
    <t>HD 어학교재연구회</t>
  </si>
  <si>
    <t>하다북스</t>
  </si>
  <si>
    <t>JD0000024303</t>
  </si>
  <si>
    <t>입말과 글말 그리고 인간의 실존</t>
  </si>
  <si>
    <t>윤석빈 지음</t>
  </si>
  <si>
    <t>충북대학교 출판부</t>
  </si>
  <si>
    <t>JD0000024304</t>
  </si>
  <si>
    <t>중국 문자학 강의</t>
  </si>
  <si>
    <t>허진웅 지음;조용준 옮김</t>
  </si>
  <si>
    <t>JD0000024305</t>
  </si>
  <si>
    <t>중국어 독해 무작정 따라하기</t>
  </si>
  <si>
    <t>후홍;린다 호 지음;옮긴이: 성백희</t>
  </si>
  <si>
    <t>길벗이지톡</t>
  </si>
  <si>
    <t>JD0000024306</t>
  </si>
  <si>
    <t>(중국어로 듣고 읽는) 돈 키호테</t>
  </si>
  <si>
    <t>화서당 엮음</t>
  </si>
  <si>
    <t>넥서스Chinese</t>
  </si>
  <si>
    <t>JD0000024307</t>
  </si>
  <si>
    <t>(찬송맘의) 외국어 홈스쿨링 : 영어 못하는 엄마의 외국어 교육 리얼 스토리</t>
  </si>
  <si>
    <t>정현미 지음</t>
  </si>
  <si>
    <t>헬스조선</t>
  </si>
  <si>
    <t>JD0000024308</t>
  </si>
  <si>
    <t>(미드 영어, SNS 영어회화에 강해지는) 카카오톡 잉글리시</t>
  </si>
  <si>
    <t>Jenny Kim 지음</t>
  </si>
  <si>
    <t>JD0000024309</t>
  </si>
  <si>
    <t>토익시험 전에 알아야할 모든 것 : TOEIC 점수대별 완벽 가이드서</t>
  </si>
  <si>
    <t>정상 지음</t>
  </si>
  <si>
    <t>JD0000024310</t>
  </si>
  <si>
    <t>통문장으로 꼬리 물고 외우는 영어명언</t>
  </si>
  <si>
    <t>최용섭 저</t>
  </si>
  <si>
    <t>피그북스</t>
  </si>
  <si>
    <t>JD0000024311</t>
  </si>
  <si>
    <t>(초중급) 프랑스어 문법 총정리 : 핵심문법 한 권으로 정복하기</t>
  </si>
  <si>
    <t>신중성;김지연 공저</t>
  </si>
  <si>
    <t>송산출판사</t>
  </si>
  <si>
    <t>JD0000024312</t>
  </si>
  <si>
    <t>플랜이 있는 아이는 영어교육이 다르다 : 내 아이의 교율플랜 만들어 놓으셨나요?</t>
  </si>
  <si>
    <t>유수경 지음</t>
  </si>
  <si>
    <t>아라크네</t>
  </si>
  <si>
    <t>JD0000024313</t>
  </si>
  <si>
    <t>하루 15분, 기적의 영어습관</t>
  </si>
  <si>
    <t>전대건 지음</t>
  </si>
  <si>
    <t>JD0000024314</t>
  </si>
  <si>
    <t>한국어 문법론</t>
  </si>
  <si>
    <t>최재희 지음</t>
  </si>
  <si>
    <t>태학사</t>
  </si>
  <si>
    <t>JD0000024315</t>
  </si>
  <si>
    <t>(한국인을 위한) 독일어 여행 사전 = German Journey Expression Dictionary</t>
  </si>
  <si>
    <t>하이코 이탈 지음</t>
  </si>
  <si>
    <t>문예림</t>
  </si>
  <si>
    <t>JD0000024316</t>
  </si>
  <si>
    <t>(꿩먹고 알먹는) 스웨덴어 첫 걸음</t>
  </si>
  <si>
    <t>변광수 지음</t>
  </si>
  <si>
    <t>JD0000024317</t>
  </si>
  <si>
    <t>한자로 익히는 중급 일본어 : 일본어 한자, 이제는 쉽게 배우자!</t>
  </si>
  <si>
    <t>지은이: 임명수;차일근;최석완;이마이 히사요시;하야시 도모코</t>
  </si>
  <si>
    <t>JD0000024318</t>
  </si>
  <si>
    <t>안천식 지음</t>
  </si>
  <si>
    <t>BG북갤러리</t>
  </si>
  <si>
    <t>JD0000024319</t>
  </si>
  <si>
    <t>이환경 각본;박이정 지음</t>
  </si>
  <si>
    <t>가연</t>
  </si>
  <si>
    <t>JD0000024320</t>
  </si>
  <si>
    <t>김보영 지음</t>
  </si>
  <si>
    <t>폴라북스</t>
  </si>
  <si>
    <t>JD0000024321</t>
  </si>
  <si>
    <t>갈림길 : 윌리엄 폴 영 장편소설, 누구나 생애 한 번은 그 길에 선다</t>
  </si>
  <si>
    <t>윌리엄 폴 영 지음;이진 옮김</t>
  </si>
  <si>
    <t>세계사</t>
  </si>
  <si>
    <t>JD0000024322</t>
  </si>
  <si>
    <t>강냉이, 공부하다 빵 터지다 : 청소년이 이야기하는 삶과 배움</t>
  </si>
  <si>
    <t>청소년 인문학 모임 강냉이 지음</t>
  </si>
  <si>
    <t>한티재</t>
  </si>
  <si>
    <t>JD0000024323</t>
  </si>
  <si>
    <t>강의 죽음 : 강이 바닥을 드러내면 세상에 어떤 일이 벌어질까?</t>
  </si>
  <si>
    <t>프레드 피어스 지음;김정은 옮김</t>
  </si>
  <si>
    <t>브렌즈</t>
  </si>
  <si>
    <t>JD0000024324</t>
  </si>
  <si>
    <t>거룩한 그루터기</t>
  </si>
  <si>
    <t>유진 피터슨 지음;역자: 홍병룡</t>
  </si>
  <si>
    <t>포이에마</t>
  </si>
  <si>
    <t>JD0000024325</t>
  </si>
  <si>
    <t>거짓말이야 거짓말</t>
  </si>
  <si>
    <t>주수자 지음;곽정효;구자인혜;김병덕 외 22명 [공]지음</t>
  </si>
  <si>
    <t>문학나무</t>
  </si>
  <si>
    <t>JD0000024326</t>
  </si>
  <si>
    <t>건딕‘s 스토리</t>
  </si>
  <si>
    <t>건디기 글 그림</t>
  </si>
  <si>
    <t>JD0000024327</t>
  </si>
  <si>
    <t>그냥 걷다가, 문득</t>
  </si>
  <si>
    <t>이혜경 지음</t>
  </si>
  <si>
    <t>JD0000024328</t>
  </si>
  <si>
    <t>그리운 내가 온다 : 터키, 살며 사랑하며 운명을 만나며</t>
  </si>
  <si>
    <t>박범신 지음</t>
  </si>
  <si>
    <t>맹그로브숲</t>
  </si>
  <si>
    <t>JD0000024329</t>
  </si>
  <si>
    <t>그치지 않는 비 : 오문세 장편소설</t>
  </si>
  <si>
    <t>지은이: 오문세</t>
  </si>
  <si>
    <t>JD0000024330</t>
  </si>
  <si>
    <t>기적 : 세계에서 가장 위대한 해상 구출작전</t>
  </si>
  <si>
    <t>데이비드 와츠 주니어;옮긴이: 원동혁</t>
  </si>
  <si>
    <t>이지출판</t>
  </si>
  <si>
    <t>JD0000024331</t>
  </si>
  <si>
    <t>길 잃은 고래가 있는 저녁 : 구보 미스미 소설</t>
  </si>
  <si>
    <t>구보 미스미 지음;서혜영 옮김</t>
  </si>
  <si>
    <t>JD0000024332</t>
  </si>
  <si>
    <t>꽃피는 용산 : 딸에게 보낸 편지</t>
  </si>
  <si>
    <t>김재호 지음</t>
  </si>
  <si>
    <t>JD0000024333</t>
  </si>
  <si>
    <t>나는 언제나 네 편</t>
  </si>
  <si>
    <t>황중환 지음</t>
  </si>
  <si>
    <t>JD0000024334</t>
  </si>
  <si>
    <t>나는 오랫동안 그녀를 꿈꾸었다 : 티에리 코엔 장편소설</t>
  </si>
  <si>
    <t>티에리 코엔 지음;박명숙 옮김</t>
  </si>
  <si>
    <t>밝은 세상</t>
  </si>
  <si>
    <t>JD0000024335</t>
  </si>
  <si>
    <t>내가 읽은 박완서</t>
  </si>
  <si>
    <t>김윤식 지음</t>
  </si>
  <si>
    <t>JD0000024336</t>
  </si>
  <si>
    <t>내게 가장 쉬운 일은 당신을 사랑하는 일</t>
  </si>
  <si>
    <t>이병진;강지은 지음</t>
  </si>
  <si>
    <t>JD0000024337</t>
  </si>
  <si>
    <t>낼모레 서른, 드라마는 없다 : 방황하는 청춘을 위한 찌질하지만 효과적인 솔루션</t>
  </si>
  <si>
    <t>이혜린 지음;이보람 그림</t>
  </si>
  <si>
    <t>소담출판사</t>
  </si>
  <si>
    <t>JD0000024338</t>
  </si>
  <si>
    <t>느낌표, 그리고 마침표</t>
  </si>
  <si>
    <t>권인옥 지음;김승현 사진</t>
  </si>
  <si>
    <t>JD0000024339</t>
  </si>
  <si>
    <t>다시 혼자가 된 당신에게 : 스스로 행복해지는 이별 심리 치유서</t>
  </si>
  <si>
    <t>기나 케스텔레 지음;황미하 옮김</t>
  </si>
  <si>
    <t>다산라이프(다산북스)</t>
  </si>
  <si>
    <t>JD0000024340</t>
  </si>
  <si>
    <t>대머리 여가수</t>
  </si>
  <si>
    <t>외젠 이오네스코 지음;오세곤 옮김</t>
  </si>
  <si>
    <t>JD0000024341</t>
  </si>
  <si>
    <t>덴데라</t>
  </si>
  <si>
    <t>사토 유야 지음;임정은 옮김</t>
  </si>
  <si>
    <t>JD0000024342</t>
  </si>
  <si>
    <t>도화녀 비형랑 : 홍주리 장편소설</t>
  </si>
  <si>
    <t>홍주리 지음</t>
  </si>
  <si>
    <t>미래지향</t>
  </si>
  <si>
    <t>JD0000024343</t>
  </si>
  <si>
    <t>동동. 1, 홀로 바람되어</t>
  </si>
  <si>
    <t>박희채 지음;박희섭 공저</t>
  </si>
  <si>
    <t>다차원북스</t>
  </si>
  <si>
    <t>JD0000024344</t>
  </si>
  <si>
    <t>동동. 2, 그대 앞에 등불되리</t>
  </si>
  <si>
    <t>JD0000024345</t>
  </si>
  <si>
    <t>드라마가 그녀에게 : NG 없이 살고 싶은 여자들의 드라마 인생 상담</t>
  </si>
  <si>
    <t>이소연 지음</t>
  </si>
  <si>
    <t>JD0000024346</t>
  </si>
  <si>
    <t>JD0000024347</t>
  </si>
  <si>
    <t>딸에게 : 희망엄마 인순이가 가슴으로 쓰는 편지</t>
  </si>
  <si>
    <t>인순이</t>
  </si>
  <si>
    <t>JD0000024348</t>
  </si>
  <si>
    <t>라이프보트 : 살아남은 자들의 광기 어린 생존 게임</t>
  </si>
  <si>
    <t>샬럿 로건 지음;홍현숙 옮김</t>
  </si>
  <si>
    <t>JD0000024349</t>
  </si>
  <si>
    <t>롤리타</t>
  </si>
  <si>
    <t>블라디미르 나보코프 지음;김진준 옮김</t>
  </si>
  <si>
    <t>JD0000024350</t>
  </si>
  <si>
    <t>마씨 부자</t>
  </si>
  <si>
    <t>라오서 지음;고점복 엮음</t>
  </si>
  <si>
    <t>JD0000024351</t>
  </si>
  <si>
    <t>매일 희망의 별에 불을 지펴라</t>
  </si>
  <si>
    <t>김광훈 지음</t>
  </si>
  <si>
    <t>함께Books</t>
  </si>
  <si>
    <t>JD0000024352</t>
  </si>
  <si>
    <t>머신맨 : 기계가 된 남자의 사랑</t>
  </si>
  <si>
    <t>맥스 배리 지음;박혜원 옮김</t>
  </si>
  <si>
    <t>JD0000024353</t>
  </si>
  <si>
    <t>명문장의 조건 : 위대한 선인들에게 글쓰기를 배우다</t>
  </si>
  <si>
    <t>김성우 지음</t>
  </si>
  <si>
    <t>JD0000024354</t>
  </si>
  <si>
    <t>모모의 착한 빵 : 브레드홀릭's 다이어리 = Breadholic's Diary</t>
  </si>
  <si>
    <t>스즈키 모모 지음;김정연 옮김</t>
  </si>
  <si>
    <t>테이크 원</t>
  </si>
  <si>
    <t>JD0000024355</t>
  </si>
  <si>
    <t>무덤의 정원 = Beauty</t>
  </si>
  <si>
    <t>조수연 지음</t>
  </si>
  <si>
    <t>JD0000024356</t>
  </si>
  <si>
    <t>무지개 접시 : 꿈의 빛깔을 찾아가는 청춘들의 맛있는 이야기</t>
  </si>
  <si>
    <t>다쿠미 츠카사 지음;이기웅 옮김</t>
  </si>
  <si>
    <t>JD0000024357</t>
  </si>
  <si>
    <t>반하다. 1</t>
  </si>
  <si>
    <t>왕기대 지음</t>
  </si>
  <si>
    <t>반디</t>
  </si>
  <si>
    <t>JD0000024358</t>
  </si>
  <si>
    <t>반하다. 2</t>
  </si>
  <si>
    <t>JD0000024359</t>
  </si>
  <si>
    <t>반하다. 3</t>
  </si>
  <si>
    <t>JD0000024360</t>
  </si>
  <si>
    <t>백두산이 터졌어요</t>
  </si>
  <si>
    <t>이근철 지음</t>
  </si>
  <si>
    <t>엠애드</t>
  </si>
  <si>
    <t>JD0000024361</t>
  </si>
  <si>
    <t>버리드 라이프 : 왜 죽기 전에 하고 싶은 일을 목록에만 적어 두는가</t>
  </si>
  <si>
    <t>조니 펜;데이브 링우드;덩컨 펜;벤 넴틴;옮긴이: 박아람</t>
  </si>
  <si>
    <t>JD0000024362</t>
  </si>
  <si>
    <t>베타 : 레이철 콘 장편소설, 만들어진 낙원</t>
  </si>
  <si>
    <t>레이철 콘 지음;황소연 옮김</t>
  </si>
  <si>
    <t>JD0000024363</t>
  </si>
  <si>
    <t>벼랑 위의 꿈들 : 길에서 만난 세상, 인권 르포르타주</t>
  </si>
  <si>
    <t>정지아 지음</t>
  </si>
  <si>
    <t>JD0000024364</t>
  </si>
  <si>
    <t>보라색 위크엔드 : 스기하라 사야카·18세 가을</t>
  </si>
  <si>
    <t>아카가와 지로 지음;한성례 옮김</t>
  </si>
  <si>
    <t>JD0000024365</t>
  </si>
  <si>
    <t>(부엉이 소녀) 욜란드 : 박애진 장편소설 = Yolande</t>
  </si>
  <si>
    <t>박애진 지음</t>
  </si>
  <si>
    <t>JD0000024366</t>
  </si>
  <si>
    <t>불량아이들 : 조재도 3부작 청소년 소설</t>
  </si>
  <si>
    <t>글: 조재도;그림: 김호민</t>
  </si>
  <si>
    <t>작은숲출판사</t>
  </si>
  <si>
    <t>JD0000024367</t>
  </si>
  <si>
    <t>불안의 수사학 = (A) rhetoric of Anxiety</t>
  </si>
  <si>
    <t>우찬제 지음</t>
  </si>
  <si>
    <t>JD0000024368</t>
  </si>
  <si>
    <t>붉은 낙엽</t>
  </si>
  <si>
    <t>토머스 H 쿡 지음;장은재 옮김</t>
  </si>
  <si>
    <t>고려원북스</t>
  </si>
  <si>
    <t>JD0000024369</t>
  </si>
  <si>
    <t>비밀 노트 : 김성금 성장소설 = (The) secret note</t>
  </si>
  <si>
    <t>김성금 지음</t>
  </si>
  <si>
    <t>연인M</t>
  </si>
  <si>
    <t>JD0000024370</t>
  </si>
  <si>
    <t>사는 기쁨 : 황동규 시집</t>
  </si>
  <si>
    <t>황동규 지음</t>
  </si>
  <si>
    <t>JD0000024371</t>
  </si>
  <si>
    <t>사라진 소년 : 아즈마 나오미 장편소설</t>
  </si>
  <si>
    <t>아즈마 나오미 지음;현정수 옮김</t>
  </si>
  <si>
    <t>JD0000024372</t>
  </si>
  <si>
    <t>사람 속 '사람' 찾기 : 특종기자 출신, 방송인 백현주의 톡(talk) 쏘는 힐링에세이</t>
  </si>
  <si>
    <t>백현주 지음</t>
  </si>
  <si>
    <t>순정아이북스</t>
  </si>
  <si>
    <t>JD0000024373</t>
  </si>
  <si>
    <t>사랑과 욕망의 변주곡 : 안톤 체호프의 에로티시즘 단편선</t>
  </si>
  <si>
    <t>안톤 체호프 지음;이항재 옮김</t>
  </si>
  <si>
    <t>JD0000024374</t>
  </si>
  <si>
    <t>사랑은 서툴고 결혼은 먼 그대에게 : 후회 없는 결혼을 부르는 38가지 셀프컨트롤</t>
  </si>
  <si>
    <t>이치카와 히로코 지음;옮긴이: 김예원</t>
  </si>
  <si>
    <t>북플라자</t>
  </si>
  <si>
    <t>JD0000024375</t>
  </si>
  <si>
    <t>사랑의 시, 여행에서 만나다</t>
  </si>
  <si>
    <t>양병호 [외] 지음</t>
  </si>
  <si>
    <t>JD0000024376</t>
  </si>
  <si>
    <t>사물의 사생활</t>
  </si>
  <si>
    <t>이민우 글;정세영 사진</t>
  </si>
  <si>
    <t>JD0000024377</t>
  </si>
  <si>
    <t>사불타 사건의 진실</t>
  </si>
  <si>
    <t>에두아르도 멘도사 지음;권미선 옮김</t>
  </si>
  <si>
    <t>JD0000024378</t>
  </si>
  <si>
    <t>사석원의 서울연가 : 기억 속 서울의 풍경과 사람을 말하고 그리다</t>
  </si>
  <si>
    <t>지은이: 사석원</t>
  </si>
  <si>
    <t>JD0000024379</t>
  </si>
  <si>
    <t>살구꽃이 피는 마을</t>
  </si>
  <si>
    <t>김용택 지음</t>
  </si>
  <si>
    <t>JD0000024380</t>
  </si>
  <si>
    <t>상처를 꽃으로 : 유안진 산문집</t>
  </si>
  <si>
    <t>유안진 지음</t>
  </si>
  <si>
    <t>문예중앙</t>
  </si>
  <si>
    <t>JD0000024381</t>
  </si>
  <si>
    <t>생존자</t>
  </si>
  <si>
    <t>이창래 지음;나중길 옮김</t>
  </si>
  <si>
    <t>JD0000024382</t>
  </si>
  <si>
    <t>슈퍼스타 다이어리 : 이정화 장편소설</t>
  </si>
  <si>
    <t>지은이: 이정화</t>
  </si>
  <si>
    <t>오름미디어</t>
  </si>
  <si>
    <t>JD0000024383</t>
  </si>
  <si>
    <t>시간이 흐른다 마음이 흐른다</t>
  </si>
  <si>
    <t>신미식 글·사진</t>
  </si>
  <si>
    <t>푸른솔</t>
  </si>
  <si>
    <t>JD0000024384</t>
  </si>
  <si>
    <t>시냇가로 물러나 사는 즐거움 : 자연 한시 읽기</t>
  </si>
  <si>
    <t>김태완 지음</t>
  </si>
  <si>
    <t>호미</t>
  </si>
  <si>
    <t>JD0000024385</t>
  </si>
  <si>
    <t>(대제국) 신의 나라 : 첫번째 전쟁. 1</t>
  </si>
  <si>
    <t>신영진 지음</t>
  </si>
  <si>
    <t>JD0000024386</t>
  </si>
  <si>
    <t>(대제국) 신의 나라 : 신영진 장편소설. 2, 삼년산성 대첩</t>
  </si>
  <si>
    <t>신영진</t>
  </si>
  <si>
    <t>JD0000024387</t>
  </si>
  <si>
    <t>(대제국) 신의 나라 : 신영진 장편소설. 3, 대마도 토벌</t>
  </si>
  <si>
    <t>JD0000024388</t>
  </si>
  <si>
    <t>(대제국) 신의 나라 : 신영진 장편소설. 4, 대륙의 혼란</t>
  </si>
  <si>
    <t>JD0000024389</t>
  </si>
  <si>
    <t>(대제국) 신의 나라 : 신영진 장편소설. 5, 대제국</t>
  </si>
  <si>
    <t>JD0000024390</t>
  </si>
  <si>
    <t>심장배반. 1</t>
  </si>
  <si>
    <t>가그린 지음</t>
  </si>
  <si>
    <t>반디출판사</t>
  </si>
  <si>
    <t>JD0000024391</t>
  </si>
  <si>
    <t>심장배반. 2</t>
  </si>
  <si>
    <t>JD0000024392</t>
  </si>
  <si>
    <t>싹공일기</t>
  </si>
  <si>
    <t>전병현 지음</t>
  </si>
  <si>
    <t>가쎄</t>
  </si>
  <si>
    <t>JD0000024393</t>
  </si>
  <si>
    <t>(한다리 건너엔 흔하디 흔한) 아는 사람 이야기. 1</t>
  </si>
  <si>
    <t>오묘 글·그림</t>
  </si>
  <si>
    <t>JD0000024394</t>
  </si>
  <si>
    <t>아주 오래된 농담 : 박완서 장편소설</t>
  </si>
  <si>
    <t>JD0000024395</t>
  </si>
  <si>
    <t>안녕, 누구나의 인생 : 상처받고 흔들리는 당신을 위한 뜨거운 조언</t>
  </si>
  <si>
    <t>지은이: 셰릴 스트레이드;옮긴이: 홍선영</t>
  </si>
  <si>
    <t>JD0000024396</t>
  </si>
  <si>
    <t>알레프</t>
  </si>
  <si>
    <t>호르헤 루이스 보르헤스 지음;옮긴이: 송병선</t>
  </si>
  <si>
    <t>JD0000024397</t>
  </si>
  <si>
    <t>알루미늄 오이 : 강병융 장편소설</t>
  </si>
  <si>
    <t>강병융 지음</t>
  </si>
  <si>
    <t>뿌쉬낀하우스</t>
  </si>
  <si>
    <t>JD0000024398</t>
  </si>
  <si>
    <t>알프스의 눈동자 : 데보라의 동서 유럽·발칸반도 기행</t>
  </si>
  <si>
    <t>김데보라 지음</t>
  </si>
  <si>
    <t>해드림출판사</t>
  </si>
  <si>
    <t>JD0000024399</t>
  </si>
  <si>
    <t>액션! 청춘 : 행동하는 청춘 15인이 전하는 나와 세상을 바꾸는 긍정 에너지</t>
  </si>
  <si>
    <t>박수진 지음</t>
  </si>
  <si>
    <t>글담출판사</t>
  </si>
  <si>
    <t>JD0000024400</t>
  </si>
  <si>
    <t>앤서미 : 우영주 장편소설 = Answer Me</t>
  </si>
  <si>
    <t>우영주 지음</t>
  </si>
  <si>
    <t>청어람</t>
  </si>
  <si>
    <t>JD0000024401</t>
  </si>
  <si>
    <t>어두운 여관 : 아리스가와 아리스 미스터리 단편집</t>
  </si>
  <si>
    <t>아리스가와 아리스 저;최고은 역</t>
  </si>
  <si>
    <t>학산문화사</t>
  </si>
  <si>
    <t>JD0000024402</t>
  </si>
  <si>
    <t>어른들의 사춘기 : 서른 넘어 찾아오는 뒤늦은 사춘기</t>
  </si>
  <si>
    <t>김승기 지음</t>
  </si>
  <si>
    <t>마젠타</t>
  </si>
  <si>
    <t>JD0000024403</t>
  </si>
  <si>
    <t>여자 인생 충전기 : 안은영, 성장과 치유의 시간</t>
  </si>
  <si>
    <t>안은영 지음</t>
  </si>
  <si>
    <t>JD0000024404</t>
  </si>
  <si>
    <t>여행자의 사랑</t>
  </si>
  <si>
    <t>베르나르 지로도 지음;이세진 옮김</t>
  </si>
  <si>
    <t>JD0000024405</t>
  </si>
  <si>
    <t>연애독설 : 헤어계의 독설가 오세일 원장의 남자 문제 손질법</t>
  </si>
  <si>
    <t>오세일 지음;나난 엮음·그림</t>
  </si>
  <si>
    <t>JD0000024406</t>
  </si>
  <si>
    <t>오늘, 뺄셈 : 버리면 행복해지는 사소한 생각들</t>
  </si>
  <si>
    <t>무무 지음;오수현 옮김</t>
  </si>
  <si>
    <t>JD0000024407</t>
  </si>
  <si>
    <t>오늘의 오프닝 : 김미라 라디오 에세이 = Today's opening</t>
  </si>
  <si>
    <t>지은이: 김미라;사진: 조정빈</t>
  </si>
  <si>
    <t>페이퍼스토리</t>
  </si>
  <si>
    <t>JD0000024408</t>
  </si>
  <si>
    <t>오아시스를 클릭하다</t>
  </si>
  <si>
    <t>이민진 지음</t>
  </si>
  <si>
    <t>무한</t>
  </si>
  <si>
    <t>JD0000024409</t>
  </si>
  <si>
    <t>오즈의 마법사</t>
  </si>
  <si>
    <t>L. 프랭크 바움 지음;W. W. 덴슬로우 그림;부희령 옮김</t>
  </si>
  <si>
    <t>허밍버드(백도씨)</t>
  </si>
  <si>
    <t>JD0000024410</t>
  </si>
  <si>
    <t>오픈 : 김이환 장편소설 = Open</t>
  </si>
  <si>
    <t>김이환 지음</t>
  </si>
  <si>
    <t>JD0000024411</t>
  </si>
  <si>
    <t>우리 반 일용이 : 30년 동안 글쓰기회 선생님들이 만난 아이들 이야기</t>
  </si>
  <si>
    <t>김숙미 지음;한국글쓰기교육연회</t>
  </si>
  <si>
    <t>JD0000024412</t>
  </si>
  <si>
    <t>우리는 한 배를 타고 있다 : 보편적 복지국가를 향한 노동과 시민의 친복지 연대</t>
  </si>
  <si>
    <t>윤홍식 엮음;참여사회연구소 기획</t>
  </si>
  <si>
    <t>이매진</t>
  </si>
  <si>
    <t>JD0000024413</t>
  </si>
  <si>
    <t>우리들의 이야기 = OUR STORY</t>
  </si>
  <si>
    <t>캐나다 한인여성회 자문위원회 지음</t>
  </si>
  <si>
    <t>태인문화사</t>
  </si>
  <si>
    <t>JD0000024414</t>
  </si>
  <si>
    <t>우리 반 전교 1등의 24시 : 10대들의 멘토 지은 쌤이 꼭 찍어 주는 365일 자기주도생활법</t>
  </si>
  <si>
    <t>이지은 지음</t>
  </si>
  <si>
    <t>JD0000024415</t>
  </si>
  <si>
    <t>우아한 연인</t>
  </si>
  <si>
    <t>에이모 토울스 지음;김승욱 옮김</t>
  </si>
  <si>
    <t>JD0000024416</t>
  </si>
  <si>
    <t>인생을 낭비한 죄 : 삶의 전환점이 필요한 그대에게</t>
  </si>
  <si>
    <t>박원자 지음</t>
  </si>
  <si>
    <t>JD0000024417</t>
  </si>
  <si>
    <t>인생학교 세상 : 작은 실천으로 세상을 바꾸는 법</t>
  </si>
  <si>
    <t>존 폴 플린토프 지음;정미우 옮김</t>
  </si>
  <si>
    <t>JD0000024418</t>
  </si>
  <si>
    <t>인헤리턴스 : 유산 제4권. 1</t>
  </si>
  <si>
    <t>크리스토퍼 파올리니 지음;신승현 옮김</t>
  </si>
  <si>
    <t>청미래</t>
  </si>
  <si>
    <t>JD0000024419</t>
  </si>
  <si>
    <t>인헤리턴스 : 유산 제4권. 2</t>
  </si>
  <si>
    <t>JD0000024420</t>
  </si>
  <si>
    <t>인형은 왜 살해되는가</t>
  </si>
  <si>
    <t>다카기 아키미쓰 지음;김선영 옮김</t>
  </si>
  <si>
    <t>JD0000024421</t>
  </si>
  <si>
    <t>일곱명의 술래잡기 : 미쓰다 신조 장편소설</t>
  </si>
  <si>
    <t>미쓰다 신조 지음;현정수 옮김</t>
  </si>
  <si>
    <t>JD0000024422</t>
  </si>
  <si>
    <t>일어나라, 기훈아!</t>
  </si>
  <si>
    <t>정봉주;이완배 공저</t>
  </si>
  <si>
    <t>JD0000024423</t>
  </si>
  <si>
    <t>일요일의 철학 : 조경란 소설집</t>
  </si>
  <si>
    <t>조경란 지음</t>
  </si>
  <si>
    <t>JD0000024424</t>
  </si>
  <si>
    <t>자포니카 자유 공책</t>
  </si>
  <si>
    <t>니시 가나코 지음;임희선 옮김</t>
  </si>
  <si>
    <t>JD0000024425</t>
  </si>
  <si>
    <t>잠자는 숲 : 히가시노 게이고 장편소설</t>
  </si>
  <si>
    <t>히가시노 게이고 지음;양윤옥 옮김</t>
  </si>
  <si>
    <t>JD0000024426</t>
  </si>
  <si>
    <t>장미화분 : 김현 소설집</t>
  </si>
  <si>
    <t>JD0000024427</t>
  </si>
  <si>
    <t>JD0000024428</t>
  </si>
  <si>
    <t>저주받은 책들의 상인</t>
  </si>
  <si>
    <t>마르첼로 시모니 지음;윤병언 옮김</t>
  </si>
  <si>
    <t>JD0000024429</t>
  </si>
  <si>
    <t>전우치전. . 최고운전</t>
  </si>
  <si>
    <t>조상우 글;김호랑 그림</t>
  </si>
  <si>
    <t>JD0000024430</t>
  </si>
  <si>
    <t>절대 돼 : 무조건 잘 될 수 밖에 없는 절대긍정의 힘</t>
  </si>
  <si>
    <t>김준희 생각과 그림</t>
  </si>
  <si>
    <t>JD0000024431</t>
  </si>
  <si>
    <t>절망은 나의 힘 : 카프카의 위험한 고백 86</t>
  </si>
  <si>
    <t>프란츠 카프카 지음;가시라기 히로키 엮음, 박승애 옮김</t>
  </si>
  <si>
    <t>한스미디어</t>
  </si>
  <si>
    <t>JD0000024432</t>
  </si>
  <si>
    <t>제2의 시간 : 당신의 삶을 지배하는 건 심리적 시간이다</t>
  </si>
  <si>
    <t>스티브 테일러 지음;정나리아 옮김</t>
  </si>
  <si>
    <t>용오름</t>
  </si>
  <si>
    <t>JD0000024433</t>
  </si>
  <si>
    <t>존재하지 않는 기사</t>
  </si>
  <si>
    <t>이탈로 칼비노 지음;이현경 옮김</t>
  </si>
  <si>
    <t>JD0000024434</t>
  </si>
  <si>
    <t>주름</t>
  </si>
  <si>
    <t>파코 로카 지음;김현주 옮김</t>
  </si>
  <si>
    <t>중앙Books</t>
  </si>
  <si>
    <t>JD0000024435</t>
  </si>
  <si>
    <t>JD0000024436</t>
  </si>
  <si>
    <t>주상전하 납시오 : 이소저 장편소설. 1</t>
  </si>
  <si>
    <t>지은이: 이소저</t>
  </si>
  <si>
    <t>다인북스</t>
  </si>
  <si>
    <t>JD0000024437</t>
  </si>
  <si>
    <t>주상전하 납시오 : 이소저 장편소설. 2</t>
  </si>
  <si>
    <t>JD0000024438</t>
  </si>
  <si>
    <t>죽도록 사랑했음을 얘기하는 흔적 : 서지연 @소설. 1</t>
  </si>
  <si>
    <t>서지연 지음;이명화</t>
  </si>
  <si>
    <t>JD0000024439</t>
  </si>
  <si>
    <t>죽도록 사랑했음을 얘기하는 흔적 : 서지연 @소설. 2</t>
  </si>
  <si>
    <t>JD0000024440</t>
  </si>
  <si>
    <t>중학 교과서 소설 : 16종 국어교과서에 수록된 전 작품. 1</t>
  </si>
  <si>
    <t>박완서 [외] 지음</t>
  </si>
  <si>
    <t>타임기획</t>
  </si>
  <si>
    <t>JD0000024441</t>
  </si>
  <si>
    <t>중학 교과서 소설 : 16종 국어교과서에 수록된 전 작품. 2</t>
  </si>
  <si>
    <t>이효석 [외] 지음</t>
  </si>
  <si>
    <t>JD0000024442</t>
  </si>
  <si>
    <t>중학 교과서 소설 : 16종 국어교과서에 수록된 전 작품. 3</t>
  </si>
  <si>
    <t>이태준 [외] 지음</t>
  </si>
  <si>
    <t>JD0000024443</t>
  </si>
  <si>
    <t>중학 교과서 소설 : 16종 국어교과서에 수록된 전 작품. 4</t>
  </si>
  <si>
    <t>심훈 [외] 지음</t>
  </si>
  <si>
    <t>JD0000024444</t>
  </si>
  <si>
    <t>중학 교과서 소설 : 16종 국어교과서에 수록된 전 작품. 5</t>
  </si>
  <si>
    <t>허균 [외] 지음</t>
  </si>
  <si>
    <t>JD0000024445</t>
  </si>
  <si>
    <t>지우개 달린 연필</t>
  </si>
  <si>
    <t>이어령 지음;에디 강 그</t>
  </si>
  <si>
    <t>JD0000024446</t>
  </si>
  <si>
    <t>천재작가 김태광의 36세 억대 수입의 비결, 새벽에 있다 : 책쓰기 혁명을 일으키는 천재작가 김태광이 말하는 하루를 세 배로 사는 비결</t>
  </si>
  <si>
    <t>위닝북스</t>
  </si>
  <si>
    <t>JD0000024447</t>
  </si>
  <si>
    <t>캘리코 조</t>
  </si>
  <si>
    <t>존 그리샴 지음;안재권 옮김</t>
  </si>
  <si>
    <t>문학수첩</t>
  </si>
  <si>
    <t>JD0000024448</t>
  </si>
  <si>
    <t>탐욕의 도둑들 : 그 많던 돈은 어디로 갔을까</t>
  </si>
  <si>
    <t>로저 로웬스타인 지음;제현주 옮김</t>
  </si>
  <si>
    <t>JD0000024449</t>
  </si>
  <si>
    <t>파리 슈브니르</t>
  </si>
  <si>
    <t>이영지 지음</t>
  </si>
  <si>
    <t>이담북스</t>
  </si>
  <si>
    <t>JD0000024450</t>
  </si>
  <si>
    <t>패니와 애니</t>
  </si>
  <si>
    <t>D. H. 로런스 지음;백낙청;황정아 엮음</t>
  </si>
  <si>
    <t>JD0000024451</t>
  </si>
  <si>
    <t>하나와 미소시루 : 떠난 그녀와 남겨진 남자 그리고 다섯 살 하나</t>
  </si>
  <si>
    <t>야스타케 싱고 지음;야스타케 치에;야스타케 하나;최윤영</t>
  </si>
  <si>
    <t>JD0000024452</t>
  </si>
  <si>
    <t>하루 : 박영택의 마음으로 읽는 그림 에세이</t>
  </si>
  <si>
    <t>박영택 지음</t>
  </si>
  <si>
    <t>JD0000024453</t>
  </si>
  <si>
    <t>한 번 해도 될까요? : 세션, 이 남자가 사랑하는 법</t>
  </si>
  <si>
    <t>셰릴 코헨 그린;로나 가라노 지음;이병무;조윤정 옮김</t>
  </si>
  <si>
    <t>다반</t>
  </si>
  <si>
    <t>JD0000024454</t>
  </si>
  <si>
    <t>핵충이 나타났다!!</t>
  </si>
  <si>
    <t>신기활 지음</t>
  </si>
  <si>
    <t>길찾기(이미지프레임)</t>
  </si>
  <si>
    <t>JD0000024455</t>
  </si>
  <si>
    <t>행복하다 행복하다 행복하다 : 비교하지 않고 만족스러운 삶 누리기</t>
  </si>
  <si>
    <t>윌 보웬 지음;이종인 옮김</t>
  </si>
  <si>
    <t>JD0000024456</t>
  </si>
  <si>
    <t>조선의 운명을 결정한 왕들의 부부싸움</t>
  </si>
  <si>
    <t>JD0000024457</t>
  </si>
  <si>
    <t>게스트하우스 제주 : 느릿느릿 천천히 행복하게 제주 게스트하우스 이야기</t>
  </si>
  <si>
    <t>강희은 지음</t>
  </si>
  <si>
    <t>JD0000024458</t>
  </si>
  <si>
    <t>고구려 아리랑</t>
  </si>
  <si>
    <t>박치정 지음</t>
  </si>
  <si>
    <t>더썬(고글)</t>
  </si>
  <si>
    <t>JD0000024459</t>
  </si>
  <si>
    <t>고려사 지리지의 분석과 보정 = Analysis and correction of the geography section(地理志) of 『Goryeo-sa/高麗史』</t>
  </si>
  <si>
    <t>윤경진 지음</t>
  </si>
  <si>
    <t>여유당출판사</t>
  </si>
  <si>
    <t>JD0000024460</t>
  </si>
  <si>
    <t>교과서 밖으로 나온 한국사 : 한 권으로 읽는 쉽고 재미있는 한국사 여행, 근현대 편</t>
  </si>
  <si>
    <t>박광일 지음;최태성 공저</t>
  </si>
  <si>
    <t>씨앤아이북스</t>
  </si>
  <si>
    <t>JD0000024461</t>
  </si>
  <si>
    <t>구본형의 그리스인 이야기 : 신화가 된 영웅들의 모험과 변신, 그리고 사랑</t>
  </si>
  <si>
    <t>구본형 지음</t>
  </si>
  <si>
    <t>생각정원</t>
  </si>
  <si>
    <t>JD0000024462</t>
  </si>
  <si>
    <t>그곳과 사귀다</t>
  </si>
  <si>
    <t>이지혜 지음</t>
  </si>
  <si>
    <t>JD0000024463</t>
  </si>
  <si>
    <t>그러므로, 떠남은 언제나 옳다 : 오소희 여행에세이 = 90 days in South America</t>
  </si>
  <si>
    <t>오소희 지음</t>
  </si>
  <si>
    <t>북하우스퍼블리셔스</t>
  </si>
  <si>
    <t>JD0000024464</t>
  </si>
  <si>
    <t>리콴유와의 대화 : 마키아벨리 군주론에 입각한 강력한 리더십의 정체를 묻다</t>
  </si>
  <si>
    <t>톰 플레이트 지음;박세연 옮김</t>
  </si>
  <si>
    <t>JD0000024465</t>
  </si>
  <si>
    <t>마이 홍콩 : 맛있는 홍콩, 즐거운 홍콩, 홀리는 홍콩 = All that Hong Kong</t>
  </si>
  <si>
    <t>원정아 글과 사진</t>
  </si>
  <si>
    <t>JD0000024466</t>
  </si>
  <si>
    <t>말레이시아 셀프 트래블 : 2013년 최신판</t>
  </si>
  <si>
    <t>김주희 지음</t>
  </si>
  <si>
    <t>JD0000024467</t>
  </si>
  <si>
    <t>머물고 싶은 곳 : 권오견 수필집</t>
  </si>
  <si>
    <t>권오견 지음</t>
  </si>
  <si>
    <t>한강출판사</t>
  </si>
  <si>
    <t>JD0000024468</t>
  </si>
  <si>
    <t>바다맛 기행 : 바다에서 건져 올린 맛의 문화사</t>
  </si>
  <si>
    <t>김준</t>
  </si>
  <si>
    <t>자연과생태</t>
  </si>
  <si>
    <t>JD0000024469</t>
  </si>
  <si>
    <t>박제가, 욕망을 거세한 조선을 비웃다</t>
  </si>
  <si>
    <t>임용한 지음</t>
  </si>
  <si>
    <t>JD0000024470</t>
  </si>
  <si>
    <t>반혁명</t>
  </si>
  <si>
    <t>자크 고드쇼 지음;양희영 옮김</t>
  </si>
  <si>
    <t>JD0000024471</t>
  </si>
  <si>
    <t>(사진과 그림으로 보는) 한국 현대사</t>
  </si>
  <si>
    <t>서중석 지음;역사문제연구소 기획</t>
  </si>
  <si>
    <t>웅진닷컴</t>
  </si>
  <si>
    <t>JD0000024472</t>
  </si>
  <si>
    <t>시사에 훤해지는 역사 : 남경태의 48가지 역사 프리즘</t>
  </si>
  <si>
    <t>남경태 지음</t>
  </si>
  <si>
    <t>JD0000024473</t>
  </si>
  <si>
    <t>시크릿 Paris : 파리지앵도 부러워할 스타일 트립</t>
  </si>
  <si>
    <t>요핑 지음</t>
  </si>
  <si>
    <t>JD0000024474</t>
  </si>
  <si>
    <t>식민지조선 만들기 : 일제강점기 일본어교과서 국어독본을 통해 본 식민지조선 만들기</t>
  </si>
  <si>
    <t>김순전 편저;박제홍;장미경;박경수;사희영;김서은;유철</t>
  </si>
  <si>
    <t>제이앤씨</t>
  </si>
  <si>
    <t>JD0000024475</t>
  </si>
  <si>
    <t>신들의 도시 왕들의 도시 : 메소포타미아의 고대도시</t>
  </si>
  <si>
    <t>지은이: 이주형;이석우</t>
  </si>
  <si>
    <t>보성각</t>
  </si>
  <si>
    <t>JD0000024476</t>
  </si>
  <si>
    <t>실학자들의 한국 고대사 인식</t>
  </si>
  <si>
    <t>경기문화재단 실학박물관 편</t>
  </si>
  <si>
    <t>경인문화사</t>
  </si>
  <si>
    <t>JD0000024477</t>
  </si>
  <si>
    <t>싱가포르</t>
  </si>
  <si>
    <t>한혜원;김주희 지음</t>
  </si>
  <si>
    <t>JD0000024478</t>
  </si>
  <si>
    <t>(아무도 들려주지 않는) 서울문화 이야기</t>
  </si>
  <si>
    <t>지은이: 김영조</t>
  </si>
  <si>
    <t>얼레빗</t>
  </si>
  <si>
    <t>JD0000024479</t>
  </si>
  <si>
    <t>아시아의 작은 마을 : 어느 날 문득 숨고 싶을 때</t>
  </si>
  <si>
    <t>조현숙 지음</t>
  </si>
  <si>
    <t>JD0000024480</t>
  </si>
  <si>
    <t>(아하 그렇군,) 뜻밖의 조선역사</t>
  </si>
  <si>
    <t>이정근 지음</t>
  </si>
  <si>
    <t>JD0000024481</t>
  </si>
  <si>
    <t>아하! 서양사. 1, 인류의 출현부터 중세 유럽의 탄생까지</t>
  </si>
  <si>
    <t>박경옥 지음</t>
  </si>
  <si>
    <t>JD0000024482</t>
  </si>
  <si>
    <t>아하! 서양사. 2, 근대 유럽의 형성부터 21세기 현대 사회까지</t>
  </si>
  <si>
    <t>JD0000024483</t>
  </si>
  <si>
    <t>안동 지역 의병장 열전</t>
  </si>
  <si>
    <t>권영배 지음</t>
  </si>
  <si>
    <t>지식산업사</t>
  </si>
  <si>
    <t>JD0000024484</t>
  </si>
  <si>
    <t>야나기 무네요시와 한국</t>
  </si>
  <si>
    <t>가토 리에 지음;권석영;이병진;가지야 타카시;구리타 쿠니에;다케나카 히토시</t>
  </si>
  <si>
    <t>JD0000024485</t>
  </si>
  <si>
    <t>(엄마와 두 아기의) 보라카이 힐링여행 : 산후우울증으로 고통받은 한 엄마의 치유여행 에세이</t>
  </si>
  <si>
    <t>한민숙 지음</t>
  </si>
  <si>
    <t>여행마인드</t>
  </si>
  <si>
    <t>JD0000024486</t>
  </si>
  <si>
    <t>여행! 사람 사랑을 배우다 : 지구촌 곳곳에서 박창수 작가가 여행중 만난 사람들</t>
  </si>
  <si>
    <t>박창수 지음</t>
  </si>
  <si>
    <t>꿈과희망</t>
  </si>
  <si>
    <t>JD0000024487</t>
  </si>
  <si>
    <t>역사, 진실에 대한 이야기의 이야기 : 헤로도토스의 『역사』에서 재레드 다이아몬드 『문명의 붕괴』에 이르기까지</t>
  </si>
  <si>
    <t>앤 커소이스;존 도커 지음;김민수 옮김</t>
  </si>
  <si>
    <t>JD0000024488</t>
  </si>
  <si>
    <t>(어린이 자기행동숙달의) 역사와 발달. 1</t>
  </si>
  <si>
    <t>L. S. 비고츠키;옮긴이: 비고츠키 연구회</t>
  </si>
  <si>
    <t>살림터</t>
  </si>
  <si>
    <t>JD0000024489</t>
  </si>
  <si>
    <t>오소희 여행에세이. 1, 안아라, 내일은 없는 것처럼 = 90 days in South America</t>
  </si>
  <si>
    <t>JD0000024490</t>
  </si>
  <si>
    <t>오소희 여행에세이. 2, 안아라, 내일은 없는 것처럼 = 90 days in South America</t>
  </si>
  <si>
    <t>JD0000024491</t>
  </si>
  <si>
    <t>오키나와</t>
  </si>
  <si>
    <t>박상용 지음</t>
  </si>
  <si>
    <t>JD0000024492</t>
  </si>
  <si>
    <t>왕실의 혼례식 풍경</t>
  </si>
  <si>
    <t>신병주 지음;박례경;송지원;이은주 지음</t>
  </si>
  <si>
    <t>JD0000024493</t>
  </si>
  <si>
    <t>요한 하위징아</t>
  </si>
  <si>
    <t>빌렘 오터스페어 지음;이종인 옮김</t>
  </si>
  <si>
    <t>연암서가</t>
  </si>
  <si>
    <t>JD0000024494</t>
  </si>
  <si>
    <t>우리 영토를 지켜온 위인들 이야기</t>
  </si>
  <si>
    <t>양태진 지음</t>
  </si>
  <si>
    <t>이회문화사</t>
  </si>
  <si>
    <t>JD0000024495</t>
  </si>
  <si>
    <t>우리가 지금껏 보지 못했던 20세기 역사</t>
  </si>
  <si>
    <t>수전 케네디 지음;R. G. 그랜트;샐리 리건;이시은;최윤희</t>
  </si>
  <si>
    <t>지식갤러리</t>
  </si>
  <si>
    <t>JD0000024496</t>
  </si>
  <si>
    <t>월절서</t>
  </si>
  <si>
    <t>원강;오평 지음;김영식 옮김</t>
  </si>
  <si>
    <t>JD0000024497</t>
  </si>
  <si>
    <t>유대인 이야기 : 그들은 어떻게 부의 역사를 만들었는가 = Jewish economic history</t>
  </si>
  <si>
    <t>홍익희 지음</t>
  </si>
  <si>
    <t>JD0000024498</t>
  </si>
  <si>
    <t>(이야기가 번지는 곳) 뉴욕</t>
  </si>
  <si>
    <t>문지혁 지음</t>
  </si>
  <si>
    <t>JD0000024499</t>
  </si>
  <si>
    <t>이탈리아 도시기행 : 역사, 건축, 예술, 음악이 있는 상쾌한 이탈리아 문화산책</t>
  </si>
  <si>
    <t>글·사진: 정태남</t>
  </si>
  <si>
    <t>JD0000024500</t>
  </si>
  <si>
    <t>인간 이력서 : 오만불손한 지배자들의 역사</t>
  </si>
  <si>
    <t>볼프 슈나이더 지음;이정모 옮김</t>
  </si>
  <si>
    <t>JD0000024501</t>
  </si>
  <si>
    <t>제주도에서 아이들과 한 달 살기</t>
  </si>
  <si>
    <t>전은주 지음</t>
  </si>
  <si>
    <t>JD0000024502</t>
  </si>
  <si>
    <t>제주카페 : 여유를 만나는 제주 힐링 여행</t>
  </si>
  <si>
    <t>이승아 지음</t>
  </si>
  <si>
    <t>JD0000024503</t>
  </si>
  <si>
    <t>조금은 삐딱한 세계사 : 유럽편</t>
  </si>
  <si>
    <t>원종우 지음</t>
  </si>
  <si>
    <t>JD0000024504</t>
  </si>
  <si>
    <t>조선시대 과거시험과 유생의 삶</t>
  </si>
  <si>
    <t>차미희 지음</t>
  </si>
  <si>
    <t>JD0000024505</t>
  </si>
  <si>
    <t>조선의 숨겨진 왕가 이야기 : 역사에 숨겨진 왕의 가족이 살았던 자취를 찾아서</t>
  </si>
  <si>
    <t>이순자 지음</t>
  </si>
  <si>
    <t>JD0000024506</t>
  </si>
  <si>
    <t>조선후기를 움직이는 사건들 : 1645년 소현세자의 죽음부터 1872 지방지도 제작까지</t>
  </si>
  <si>
    <t>신병주 지음</t>
  </si>
  <si>
    <t>새문</t>
  </si>
  <si>
    <t>JD0000024507</t>
  </si>
  <si>
    <t>주말엔 숲으로</t>
  </si>
  <si>
    <t>마스다 미리 만화;박정임 옮김</t>
  </si>
  <si>
    <t>JD0000024508</t>
  </si>
  <si>
    <t>중국의 혼인과 가정</t>
  </si>
  <si>
    <t>장민걸 지음;이인경 옮김</t>
  </si>
  <si>
    <t>문사철</t>
  </si>
  <si>
    <t>JD0000024509</t>
  </si>
  <si>
    <t>(중학생이 보는) 서유 견문</t>
  </si>
  <si>
    <t>유길준 지음;구인환 역주;성낙수;오은주;김선화 엮음</t>
  </si>
  <si>
    <t>신원문화사</t>
  </si>
  <si>
    <t>JD0000024510</t>
  </si>
  <si>
    <t>JD0000024511</t>
  </si>
  <si>
    <t>지금 동아시아를 읽는다 : 보수의 시대를 가로지르는 생각</t>
  </si>
  <si>
    <t>한승동</t>
  </si>
  <si>
    <t>JD0000024512</t>
  </si>
  <si>
    <t>(찰스 디킨스가 들려주는 청소년을 위한) 영국인 이야기</t>
  </si>
  <si>
    <t>지은이: 찰스 디킨스;옮긴이: 최석진</t>
  </si>
  <si>
    <t>시와 진실</t>
  </si>
  <si>
    <t>JD0000024513</t>
  </si>
  <si>
    <t>천천히 그러나 너무 늦지 않게, 미얀마</t>
  </si>
  <si>
    <t>정의한 지음</t>
  </si>
  <si>
    <t>나다</t>
  </si>
  <si>
    <t>JD0000024514</t>
  </si>
  <si>
    <t>철부지 노인, 배낭 메고 인도로 : 청바지 입은 60대 노인의 나홀로 배낭여행</t>
  </si>
  <si>
    <t>지은이: 김대하</t>
  </si>
  <si>
    <t>JD0000024515</t>
  </si>
  <si>
    <t>(청소년을 위한) 라이벌 한국사</t>
  </si>
  <si>
    <t>강응천 지음</t>
  </si>
  <si>
    <t>JD0000024516</t>
  </si>
  <si>
    <t>체르노빌의 봄</t>
  </si>
  <si>
    <t>엠마뉘엘 르파주 글,그;맹슬기;이하규 옮김</t>
  </si>
  <si>
    <t>JD0000024517</t>
  </si>
  <si>
    <t>키워드로 읽는 세계사 : 역사의 흐름을 바꾼 50가지 명장면</t>
  </si>
  <si>
    <t>휴 윌리엄스 지음;박준호 옮김</t>
  </si>
  <si>
    <t>일월서각</t>
  </si>
  <si>
    <t>JD0000024518</t>
  </si>
  <si>
    <t>퇴계처럼 : 조선 최고의 리더십을 만난다</t>
  </si>
  <si>
    <t>김병일 지음</t>
  </si>
  <si>
    <t>JD0000024519</t>
  </si>
  <si>
    <t>(세계를 간다) 프랑스 : 일 드 프랑스·부르고뉴·프랑슈 콩테·프로방스 = France</t>
  </si>
  <si>
    <t>알에이치코리아 편집부</t>
  </si>
  <si>
    <t>JD0000024520</t>
  </si>
  <si>
    <t>(프렌즈)동유럽 : 생애 첫 여행친구; 프렌즈 Friends = Eastern Europe</t>
  </si>
  <si>
    <t>박현숙;김유진;이지혜 [공]지음</t>
  </si>
  <si>
    <t>중앙books</t>
  </si>
  <si>
    <t>JD0000024521</t>
  </si>
  <si>
    <t>(한·중·일) 밥상 문화 : 대표음식으로 본 3국 문화비교</t>
  </si>
  <si>
    <t>김경은 지음</t>
  </si>
  <si>
    <t>이가서</t>
  </si>
  <si>
    <t>JD0000024522</t>
  </si>
  <si>
    <t>한국과 일본, 그 사이의 역사 : 한일공통역사교재</t>
  </si>
  <si>
    <t>한일공통역사교재 제작팀 지음</t>
  </si>
  <si>
    <t>JD0000024523</t>
  </si>
  <si>
    <t>한국근현대사 강의</t>
  </si>
  <si>
    <t>한국근현대사학회 엮음</t>
  </si>
  <si>
    <t>JD0000024524</t>
  </si>
  <si>
    <t>화에 대하여 : 고대 스토아 철학의 대가 세네카가 들려주는 화에 대한 철학적 사색 = On anger</t>
  </si>
  <si>
    <t>루키우스 안나이우스 세네카;옮긴이: 김경숙</t>
  </si>
  <si>
    <t>사이</t>
  </si>
  <si>
    <t>JD0000024525</t>
  </si>
  <si>
    <t>희망의 속도 15Km/h</t>
  </si>
  <si>
    <t>김선욱 지음</t>
  </si>
  <si>
    <t>민음인</t>
  </si>
  <si>
    <t>JD0000024526</t>
  </si>
  <si>
    <t>꼬마 사서 두보</t>
  </si>
  <si>
    <t>양연주 글;김미현 그림</t>
  </si>
  <si>
    <t>키다리</t>
  </si>
  <si>
    <t>JD0000024527</t>
  </si>
  <si>
    <t>역사로 시작하는 인물 한국사 북아트</t>
  </si>
  <si>
    <t>김현옥 글;이재철 그림</t>
  </si>
  <si>
    <t>아보세</t>
  </si>
  <si>
    <t>JD0000024528</t>
  </si>
  <si>
    <t>(좋아 나빠) 인터넷과 스마트폰</t>
  </si>
  <si>
    <t>이안 지음;최해영 그림</t>
  </si>
  <si>
    <t>과학동아북스</t>
  </si>
  <si>
    <t>JD0000024529</t>
  </si>
  <si>
    <t>(생각대장의) 창의력 글쓰기 : 신나고 재미있는 글쓰기 놀이터</t>
  </si>
  <si>
    <t>이혜영;이승현 지음</t>
  </si>
  <si>
    <t>JD0000024530</t>
  </si>
  <si>
    <t>창의왕이 되는 추리 상상 퀴즈100</t>
  </si>
  <si>
    <t>김충원 지음</t>
  </si>
  <si>
    <t>진선아이</t>
  </si>
  <si>
    <t>JD0000024531</t>
  </si>
  <si>
    <t>창의왕이 되는 논리 관찰 퀴즈 100</t>
  </si>
  <si>
    <t>진선출판사</t>
  </si>
  <si>
    <t>JD0000024532</t>
  </si>
  <si>
    <t>책은 내 친구야</t>
  </si>
  <si>
    <t>제인 블랫 글;사라 마시니 그림;박상은 옮김</t>
  </si>
  <si>
    <t>가치창조</t>
  </si>
  <si>
    <t>JD0000024533</t>
  </si>
  <si>
    <t>함규진 지음;돌 스튜디오 그림</t>
  </si>
  <si>
    <t>JD0000024534</t>
  </si>
  <si>
    <t>(괜찮아 괜찮아) 자신감을 가져도 괜찮아!</t>
  </si>
  <si>
    <t>웬디 L. 모스 글;김정진 그림;김선희 옮김</t>
  </si>
  <si>
    <t>JD0000024535</t>
  </si>
  <si>
    <t>생각은 깊고 마음은 넓게 : 세상 사는 이야기·선조들의 지혜</t>
  </si>
  <si>
    <t>계일 지음;김천정 그림;한국국학진흥원 기획</t>
  </si>
  <si>
    <t>계수나무</t>
  </si>
  <si>
    <t>JD0000024536</t>
  </si>
  <si>
    <t>(생각하는 어린이가) 힘이 세다</t>
  </si>
  <si>
    <t>마릴린 번스 지음;마사 웨스턴 그림;고재운 옮김</t>
  </si>
  <si>
    <t>JD0000024537</t>
  </si>
  <si>
    <t>셰익스피어 그리고 인간</t>
  </si>
  <si>
    <t>김도윤 지음</t>
  </si>
  <si>
    <t>살림출판사</t>
  </si>
  <si>
    <t>JD0000024538</t>
  </si>
  <si>
    <t>아리스토텔레스의 재미있는 윤리 이야기</t>
  </si>
  <si>
    <t>신지현 글;차성진 그림</t>
  </si>
  <si>
    <t>상상여행</t>
  </si>
  <si>
    <t>JD0000024539</t>
  </si>
  <si>
    <t>잘 자라라 내 마음</t>
  </si>
  <si>
    <t>윤아해 글;이영림 그림</t>
  </si>
  <si>
    <t>JD0000024540</t>
  </si>
  <si>
    <t>칸트와 함께 생각해 보는 순수이성</t>
  </si>
  <si>
    <t>이숙자 글;이재복 그림</t>
  </si>
  <si>
    <t>JD0000024541</t>
  </si>
  <si>
    <t>(톡톡튀는 소녀를 위한) 심리테스트</t>
  </si>
  <si>
    <t>최봉선 글·그림</t>
  </si>
  <si>
    <t>푸른뜰</t>
  </si>
  <si>
    <t>JD0000024542</t>
  </si>
  <si>
    <t>프로이트가 이야기하는 꿈 스토리</t>
  </si>
  <si>
    <t>강영철 글;김영구 그림</t>
  </si>
  <si>
    <t>JD0000024543</t>
  </si>
  <si>
    <t>피자보다 맛있는 철학 이야기</t>
  </si>
  <si>
    <t>정지영 글;백정현 그림</t>
  </si>
  <si>
    <t>여름숲</t>
  </si>
  <si>
    <t>JD0000024544</t>
  </si>
  <si>
    <t>감추고 싶은 비밀</t>
  </si>
  <si>
    <t>한국불교아동문학회 엮음</t>
  </si>
  <si>
    <t>대양미디어</t>
  </si>
  <si>
    <t>JD0000024545</t>
  </si>
  <si>
    <t>그리스 신화 속 신과 영웅 이야기 13</t>
  </si>
  <si>
    <t>질케 브리 지음;장혜경 옮김</t>
  </si>
  <si>
    <t>터치아트</t>
  </si>
  <si>
    <t>JD0000024546</t>
  </si>
  <si>
    <t>꼬마 여우와 아기 예수 : 그리고 따뜻한 성탄절 이야기들</t>
  </si>
  <si>
    <t>레네 마이어-스쿠만츠 글;티나 나겔 그림;이유정 옮김</t>
  </si>
  <si>
    <t>JD0000024547</t>
  </si>
  <si>
    <t>떠남 : 내 인생의 가장 담대한 순종</t>
  </si>
  <si>
    <t>이용규 지음</t>
  </si>
  <si>
    <t>JD0000024548</t>
  </si>
  <si>
    <t>아폴론과 디오니소스 = Apollon</t>
  </si>
  <si>
    <t>그레그 베일리 지음;원재훈 편역</t>
  </si>
  <si>
    <t>두리아이</t>
  </si>
  <si>
    <t>JD0000024549</t>
  </si>
  <si>
    <t>어린이 성경</t>
  </si>
  <si>
    <t>베르너 라우비 글;안네게르트 푹스후버 그림;손성현 옮김</t>
  </si>
  <si>
    <t>JD0000024550</t>
  </si>
  <si>
    <t>예수님! 최고로 좋아요</t>
  </si>
  <si>
    <t>김봉숙 지음;지영미 그림</t>
  </si>
  <si>
    <t>JD0000024551</t>
  </si>
  <si>
    <t>하나님이 사랑을 주셨단다</t>
  </si>
  <si>
    <t>리사 타운 버그렌 지음;그린이: 로라 J. 브라이언트;옮긴이: 김서정</t>
  </si>
  <si>
    <t>몽당연필</t>
  </si>
  <si>
    <t>JD0000024552</t>
  </si>
  <si>
    <t>(동물민속학자가 들려주는) 열두 띠 이야기</t>
  </si>
  <si>
    <t>글: 천진기;그림: 이우정</t>
  </si>
  <si>
    <t>리젬</t>
  </si>
  <si>
    <t>JD0000024553</t>
  </si>
  <si>
    <t>차태란 지음;정일호 사진;박태희 그림;임미진 감수</t>
  </si>
  <si>
    <t>JD0000024554</t>
  </si>
  <si>
    <t>CEO 너구리, 은행장 부엉이, 그리고……족제비 : 숲 속을 발칵 뒤집은 경제 대소동</t>
  </si>
  <si>
    <t>하노 벡;율리아느 슈보흐;그림: 이형진;옮김: 박종대</t>
  </si>
  <si>
    <t>조선에듀케이션</t>
  </si>
  <si>
    <t>JD0000024555</t>
  </si>
  <si>
    <t>공부를 부탁해</t>
  </si>
  <si>
    <t>권태문 글;정다운;김선미 그림</t>
  </si>
  <si>
    <t>HomeBook</t>
  </si>
  <si>
    <t>JD0000024556</t>
  </si>
  <si>
    <t>공이 데굴데굴</t>
  </si>
  <si>
    <t>이향안 글;미키빈 그림</t>
  </si>
  <si>
    <t>블루래빗</t>
  </si>
  <si>
    <t>JD0000024557</t>
  </si>
  <si>
    <t>교과서 속 경제동화</t>
  </si>
  <si>
    <t>이주항 저;이현경 그림</t>
  </si>
  <si>
    <t>JD0000024558</t>
  </si>
  <si>
    <t>글로벌 에티켓. 1, 아시아, 아프리카</t>
  </si>
  <si>
    <t>박동석 지음;송진욱 그림</t>
  </si>
  <si>
    <t>꿈꾸는꼬리연</t>
  </si>
  <si>
    <t>JD0000024559</t>
  </si>
  <si>
    <t>글로벌 에티켓. 2, 유럽, 아메리카, 오세아니아를 가다</t>
  </si>
  <si>
    <t>JD0000024560</t>
  </si>
  <si>
    <t>(나꼽살과 순악질 마녀의) 착한 경제 팍팍!</t>
  </si>
  <si>
    <t>이미애 글;유남영 그림</t>
  </si>
  <si>
    <t>레디앙어린이</t>
  </si>
  <si>
    <t>JD0000024561</t>
  </si>
  <si>
    <t>달력을 보면 사회가 재밌어! : 교과서 속 역사 부터 세시 풍속 경제 환경 직업까지</t>
  </si>
  <si>
    <t>정세언 지음;이유진 그림</t>
  </si>
  <si>
    <t>상수리나무</t>
  </si>
  <si>
    <t>JD0000024562</t>
  </si>
  <si>
    <t>달리는 나눔 가게</t>
  </si>
  <si>
    <t>미하엘 로어 글·그림;임미숙 옮김</t>
  </si>
  <si>
    <t>JD0000024563</t>
  </si>
  <si>
    <t>대칭놀이</t>
  </si>
  <si>
    <t>로렌 리디 글·그림;안지은 옮김</t>
  </si>
  <si>
    <t>미래M</t>
  </si>
  <si>
    <t>JD0000024564</t>
  </si>
  <si>
    <t>(짧은 단어로 쉽게 배우는) 도시 이야기</t>
  </si>
  <si>
    <t>비올레따 몬레알 그림</t>
  </si>
  <si>
    <t>블루웍스</t>
  </si>
  <si>
    <t>JD0000024565</t>
  </si>
  <si>
    <t>(돈과 숫자로 배우는) A+ 경제교과서</t>
  </si>
  <si>
    <t>이영직 지음</t>
  </si>
  <si>
    <t>스마트주니어</t>
  </si>
  <si>
    <t>JD0000024566</t>
  </si>
  <si>
    <t>돈이 많으면 행복할까?</t>
  </si>
  <si>
    <t>박현희 글;김민준 그림</t>
  </si>
  <si>
    <t>JD0000024567</t>
  </si>
  <si>
    <t>(말 달리고 횃불 피우고) 옛 교통과 통신</t>
  </si>
  <si>
    <t>이향숙 지음;그림: 김이솔</t>
  </si>
  <si>
    <t>JD0000024568</t>
  </si>
  <si>
    <t>뽀뽀 쪽!</t>
  </si>
  <si>
    <t>김선영 글;김현 그림</t>
  </si>
  <si>
    <t>JD0000024569</t>
  </si>
  <si>
    <t>사랑이 담아진 엄마의 마음 : 동시집</t>
  </si>
  <si>
    <t>글·사진: 서정일</t>
  </si>
  <si>
    <t>노문사</t>
  </si>
  <si>
    <t>JD0000024570</t>
  </si>
  <si>
    <t>사랑해 사랑해</t>
  </si>
  <si>
    <t>김선영 글;배현주 그림</t>
  </si>
  <si>
    <t>JD0000024571</t>
  </si>
  <si>
    <t>사회 공부가 즐거워지는 문화재 지도 : 초등 5학년 사회 교과서 연계 지역별 문화재 총정리</t>
  </si>
  <si>
    <t>정상우 지음;박현진</t>
  </si>
  <si>
    <t>소울키즈(에스제이소울)</t>
  </si>
  <si>
    <t>JD0000024572</t>
  </si>
  <si>
    <t>수학 플러스 사회 : 통합 교과 맞춤형 수학 동화. 1, 멀고 먼 나라를 찾아라!</t>
  </si>
  <si>
    <t>글: 김근애;그림: 지문</t>
  </si>
  <si>
    <t>JD0000024573</t>
  </si>
  <si>
    <t>아름다운 우리 옷</t>
  </si>
  <si>
    <t>김미혜 지음;서선미 그림</t>
  </si>
  <si>
    <t>꿈꾸는 달팽이</t>
  </si>
  <si>
    <t>JD0000024574</t>
  </si>
  <si>
    <t>어리바리 지수, 12살에 의사 되다</t>
  </si>
  <si>
    <t>신영란 지음;배종숙 그림</t>
  </si>
  <si>
    <t>JD0000024575</t>
  </si>
  <si>
    <t>어린이를 위한 습관의 힘</t>
  </si>
  <si>
    <t>이아연 지음;유영근 그림</t>
  </si>
  <si>
    <t>JD0000024576</t>
  </si>
  <si>
    <t>역사가 쉬워지는 우리 문화 교과서 : 초등학생은 아무도 모르는 우리 비밀 문화</t>
  </si>
  <si>
    <t>김경선 지음;그림: 선원</t>
  </si>
  <si>
    <t>가방도서관</t>
  </si>
  <si>
    <t>JD0000024577</t>
  </si>
  <si>
    <t>열두 띠 열두 동물 이야기</t>
  </si>
  <si>
    <t>김경복 글;임지용 그림</t>
  </si>
  <si>
    <t>상서각</t>
  </si>
  <si>
    <t>JD0000024578</t>
  </si>
  <si>
    <t>옛 마을에 놀러갔어요 : 주제별로 읽는 우리역사</t>
  </si>
  <si>
    <t>글: 원시인;그림: 아이클릭아트 외</t>
  </si>
  <si>
    <t>파란하늘</t>
  </si>
  <si>
    <t>JD0000024579</t>
  </si>
  <si>
    <t>오늘은 왜 쉬어요 : 달력 속 빨간날의 비밀</t>
  </si>
  <si>
    <t>조혜원 글;최해영 그림</t>
  </si>
  <si>
    <t>JD0000024580</t>
  </si>
  <si>
    <t>왜 너희만 먹는 거야?</t>
  </si>
  <si>
    <t>장성익 지음;송하완 그림</t>
  </si>
  <si>
    <t>풀빛미디어</t>
  </si>
  <si>
    <t>JD0000024581</t>
  </si>
  <si>
    <t>왜 시간을 낭비하면 안 되나요?</t>
  </si>
  <si>
    <t>이보배 지음;장유진 그림; 김태훈 감수</t>
  </si>
  <si>
    <t>JD0000024582</t>
  </si>
  <si>
    <t>왜 우리는 친구일까? : 제3세계 어린이들의 꿈과 소망 그리고 눈물</t>
  </si>
  <si>
    <t>박성철 지음;강현아 그림</t>
  </si>
  <si>
    <t>서교출판사</t>
  </si>
  <si>
    <t>JD0000024583</t>
  </si>
  <si>
    <t>우리 마을 경찰은 맨날 심심해</t>
  </si>
  <si>
    <t>JD0000024584</t>
  </si>
  <si>
    <t>우리나라 곳곳에 너의 손길이 필요해</t>
  </si>
  <si>
    <t>예영 글;김미연 그림</t>
  </si>
  <si>
    <t>JD0000024585</t>
  </si>
  <si>
    <t>위기탈출! 김도민</t>
  </si>
  <si>
    <t>박현숙 글;경하 그림</t>
  </si>
  <si>
    <t>JD0000024586</t>
  </si>
  <si>
    <t>위풍당당 1학년 vs 자신만만 초등맘 : 현직 초등학교 교사가 쓴 신개념 입학 준비서</t>
  </si>
  <si>
    <t>글: 박신식;그림: 우지현</t>
  </si>
  <si>
    <t>JD0000024587</t>
  </si>
  <si>
    <t>이선비, 혼례를 치르다</t>
  </si>
  <si>
    <t>세계로 글;최현묵 그림</t>
  </si>
  <si>
    <t>JD0000024588</t>
  </si>
  <si>
    <t>(초등학생이 꼭 읽어야 할) 이솝 우화 200가지</t>
  </si>
  <si>
    <t>이솝 글;아서 래컴 그림;민예령 옮김</t>
  </si>
  <si>
    <t>푸른책들</t>
  </si>
  <si>
    <t>JD0000024589</t>
  </si>
  <si>
    <t>(자기주도) 초등수학 공부방법</t>
  </si>
  <si>
    <t>조영선 글;김우람 그림</t>
  </si>
  <si>
    <t>채운어린이</t>
  </si>
  <si>
    <t>JD0000024590</t>
  </si>
  <si>
    <t>점 점 점</t>
  </si>
  <si>
    <t>크레이그 프레지어 글·그림;최용은 옮김</t>
  </si>
  <si>
    <t>JD0000024591</t>
  </si>
  <si>
    <t>조각조각 무엇을 만들까?</t>
  </si>
  <si>
    <t>밀라 부탕 지음;조정훈 옮김</t>
  </si>
  <si>
    <t>JD0000024592</t>
  </si>
  <si>
    <t>JD0000024593</t>
  </si>
  <si>
    <t>착한 소비가 뭐예요? : 어린이가 꼭 알아야 할 윤리적 소비</t>
  </si>
  <si>
    <t>글: 서지원;정우진;나혜원;조선학;그림: 박정인</t>
  </si>
  <si>
    <t>JD0000024594</t>
  </si>
  <si>
    <t>참 잘했어요, 첫 심부름!</t>
  </si>
  <si>
    <t>이향안 글;이영림 그림</t>
  </si>
  <si>
    <t>JD0000024595</t>
  </si>
  <si>
    <t>(초등학생 때 꼭 읽어야 할) 이솝우화</t>
  </si>
  <si>
    <t>[이솝 원작];성지영 엮음;손명자 그림</t>
  </si>
  <si>
    <t>JD0000024596</t>
  </si>
  <si>
    <t>(2학년) 스팀 수학</t>
  </si>
  <si>
    <t>서지원 지음;그림: 홍지혜</t>
  </si>
  <si>
    <t>JD0000024597</t>
  </si>
  <si>
    <t>갈릴레이의 망원경</t>
  </si>
  <si>
    <t>게리 베일리;캐런 포스터 글;레이턴 노이스;캐런 래드퍼드 그림;김석희 옮김</t>
  </si>
  <si>
    <t>JD0000024598</t>
  </si>
  <si>
    <t>고추 : 고추의 한살이로 들여다본 고추밭 생태계</t>
  </si>
  <si>
    <t>정혜경 씀;하민석 그림</t>
  </si>
  <si>
    <t>둥그나무</t>
  </si>
  <si>
    <t>JD0000024599</t>
  </si>
  <si>
    <t>(공부가 되는) 식물도감</t>
  </si>
  <si>
    <t>글공작소</t>
  </si>
  <si>
    <t>JD0000024600</t>
  </si>
  <si>
    <t>따라하면 구구단 문장제가 저절로 초 2·3 : 스토리텔링 학습법</t>
  </si>
  <si>
    <t>유선영 글;누똥바 그림</t>
  </si>
  <si>
    <t>JD0000024601</t>
  </si>
  <si>
    <t>(꼬물꼬물) 땅속 작은 벌레</t>
  </si>
  <si>
    <t>다시로 치사토 지음;고향옥 옮김</t>
  </si>
  <si>
    <t>JD0000024602</t>
  </si>
  <si>
    <t>꿈꾸는 씨앗 이야기</t>
  </si>
  <si>
    <t>도은;여연;하연 글;정효정 그림</t>
  </si>
  <si>
    <t>JD0000024603</t>
  </si>
  <si>
    <t>나는 수학이 정말 싫어!</t>
  </si>
  <si>
    <t>이광연 글;김민준 그림</t>
  </si>
  <si>
    <t>JD0000024604</t>
  </si>
  <si>
    <t>남극의 눈물 : MBC 창사 50주년 특집 다큐멘터리</t>
  </si>
  <si>
    <t>MBC &lt;남극의 눈물&gt; 제작팀 지음;고혜림 글</t>
  </si>
  <si>
    <t>MBC C</t>
  </si>
  <si>
    <t>JD0000024605</t>
  </si>
  <si>
    <t>네가 달팽이니?</t>
  </si>
  <si>
    <t>주디 앨런 글;튜더 험프리스 그림;이성실 옮김</t>
  </si>
  <si>
    <t>다섯수레</t>
  </si>
  <si>
    <t>JD0000024606</t>
  </si>
  <si>
    <t>놀라운 생태계, 거꾸로 살아가는 동물들</t>
  </si>
  <si>
    <t>햇살과나무꾼;안은진 그림</t>
  </si>
  <si>
    <t>논장</t>
  </si>
  <si>
    <t>JD0000024607</t>
  </si>
  <si>
    <t>다윈과 함께 떠나는 진화 여행</t>
  </si>
  <si>
    <t>마라 돔페 글;알레싼드로 블레지노 그림;조성윤 옮김</t>
  </si>
  <si>
    <t>산화</t>
  </si>
  <si>
    <t>JD0000024608</t>
  </si>
  <si>
    <t>도로시의 과학 수사대 : 동화 속 범인을 잡아라!</t>
  </si>
  <si>
    <t>글쓴이: 김진욱;그린이: 임혜경</t>
  </si>
  <si>
    <t>JD0000024609</t>
  </si>
  <si>
    <t>(짧은 단어로 쉽게 배우는) 동물이야기</t>
  </si>
  <si>
    <t>비올레타 몬레알 그림</t>
  </si>
  <si>
    <t>JD0000024610</t>
  </si>
  <si>
    <t>돼지 삼총사 보글보글 화학 레시피 : 생각이 솟아나는 요리 화학</t>
  </si>
  <si>
    <t>로베르트 그리스벡 글;닐스 플리그너 그림;고영아 옮김</t>
  </si>
  <si>
    <t>JD0000024611</t>
  </si>
  <si>
    <t>따라하면 수학 창의력이 저절로 100</t>
  </si>
  <si>
    <t>삼성수학연구소 지음;유선영 기획</t>
  </si>
  <si>
    <t>JD0000024612</t>
  </si>
  <si>
    <t>땀, 똥, 눈알, 쓰레기도 맛있다!</t>
  </si>
  <si>
    <t>테레세 브링홀름 지음;잉에르 샤리스;레나 포쉬만;류효정</t>
  </si>
  <si>
    <t>JD0000024613</t>
  </si>
  <si>
    <t>똥 누고 물 내리지 마세요! : 고약한 냄새와 더러움 속에 감춰진 똥과 오줌의 과학!</t>
  </si>
  <si>
    <t>메리 &amp;리처드 플랫 글;존 켈리 그림;강미경 옮김</t>
  </si>
  <si>
    <t>JD0000024614</t>
  </si>
  <si>
    <t>몬스터과학. 1, 공주의 뇌를 흔들어라</t>
  </si>
  <si>
    <t>함석진 지음</t>
  </si>
  <si>
    <t>JD0000024615</t>
  </si>
  <si>
    <t>몬스터과학. 2, 우주의 끝이 어디야?</t>
  </si>
  <si>
    <t>JD0000024616</t>
  </si>
  <si>
    <t>(무게가 없는) 무중력</t>
  </si>
  <si>
    <t>이치 사이언스</t>
  </si>
  <si>
    <t>JD0000024617</t>
  </si>
  <si>
    <t>무엇이 무엇이 필요할까</t>
  </si>
  <si>
    <t>잔니 로다리 지음;그림: 실비아 보난니;옮김: 김현주</t>
  </si>
  <si>
    <t>아지북스</t>
  </si>
  <si>
    <t>JD0000024618</t>
  </si>
  <si>
    <t>봄은 어디쯤 오고 있을까</t>
  </si>
  <si>
    <t>글: 어린이 통합교과 연구회;그림: 고순정</t>
  </si>
  <si>
    <t>JD0000024619</t>
  </si>
  <si>
    <t>봄이 왔어요</t>
  </si>
  <si>
    <t>백명식 지음</t>
  </si>
  <si>
    <t>JD0000024620</t>
  </si>
  <si>
    <t>(사각사각정사각) 도형나라로! : 공간을 알면 수학이 쉬워요</t>
  </si>
  <si>
    <t>글: 고희정;그림: 김언희</t>
  </si>
  <si>
    <t>JD0000024621</t>
  </si>
  <si>
    <t>사냥을 하는 동물들 : 동물의 공격과 방어</t>
  </si>
  <si>
    <t>과수원길 글;이창준;윤희동 그림</t>
  </si>
  <si>
    <t>JD0000024622</t>
  </si>
  <si>
    <t>새끼를 키우는 동물들 : 동물의 가족</t>
  </si>
  <si>
    <t>과수원길 글;김은경;윤희동 그림</t>
  </si>
  <si>
    <t>JD0000024623</t>
  </si>
  <si>
    <t>(세밀화로 그린 보리 어린이) 바닷물고기 도감 : 우리 바다에 사는 바닷물고기 125종</t>
  </si>
  <si>
    <t>글: 명정구;민족의학연구원 편집부;그림: 조광현</t>
  </si>
  <si>
    <t>JD0000024624</t>
  </si>
  <si>
    <t>속담 속에 숨은 수학 단위와 측정</t>
  </si>
  <si>
    <t>송은영 글;최현 그림</t>
  </si>
  <si>
    <t>봄나무</t>
  </si>
  <si>
    <t>JD0000024625</t>
  </si>
  <si>
    <t>(초등 3·4학년의) 수학 만화 일기</t>
  </si>
  <si>
    <t>글: 박시현;그림: 박한영</t>
  </si>
  <si>
    <t>JD0000024626</t>
  </si>
  <si>
    <t>수학천재 길수</t>
  </si>
  <si>
    <t>지승룡 지음</t>
  </si>
  <si>
    <t>여우고개</t>
  </si>
  <si>
    <t>JD0000024627</t>
  </si>
  <si>
    <t>수학 천재는 바로 너! : 동화로 만나는 덧셈 뺄셈 곱셈 나눗셈</t>
  </si>
  <si>
    <t>안나 체라솔리 지음;줄리아 오레키아 그림;김효정 옮김</t>
  </si>
  <si>
    <t>JD0000024628</t>
  </si>
  <si>
    <t>수학 시간에 울뻔했어요 : 수 세기와 수 읽기</t>
  </si>
  <si>
    <t>서지원 글;이수영 그림</t>
  </si>
  <si>
    <t>어린이나무생각</t>
  </si>
  <si>
    <t>JD0000024629</t>
  </si>
  <si>
    <t>수학으로 보는 세상 : 생활속에 숨어 있던 수학의 외침</t>
  </si>
  <si>
    <t>신광복 글;이원희 그림</t>
  </si>
  <si>
    <t>성우</t>
  </si>
  <si>
    <t>JD0000024630</t>
  </si>
  <si>
    <t>수학해적왕</t>
  </si>
  <si>
    <t>권재원 글;정은영 그림</t>
  </si>
  <si>
    <t>창의와탐구</t>
  </si>
  <si>
    <t>JD0000024631</t>
  </si>
  <si>
    <t>(두뇌가 들썩들썩) 숫자가 뱅글뱅글</t>
  </si>
  <si>
    <t>구성: 브레인 스쿨;그림: 강난주</t>
  </si>
  <si>
    <t>JD0000024632</t>
  </si>
  <si>
    <t>식물</t>
  </si>
  <si>
    <t>책빛편집부;그림: 김현주 [외];만화: 진장수</t>
  </si>
  <si>
    <t>책빛</t>
  </si>
  <si>
    <t>JD0000024633</t>
  </si>
  <si>
    <t>(짧은 단어로 쉽게 배우는) 식물이야기</t>
  </si>
  <si>
    <t>비올레따 몬레알 글</t>
  </si>
  <si>
    <t>JD0000024634</t>
  </si>
  <si>
    <t>신통방통 표와 그래프</t>
  </si>
  <si>
    <t>서지원 지음;김현근 그림</t>
  </si>
  <si>
    <t>좋은책</t>
  </si>
  <si>
    <t>JD0000024635</t>
  </si>
  <si>
    <t>신화 속의 과학</t>
  </si>
  <si>
    <t>이인식 지음</t>
  </si>
  <si>
    <t>JD0000024636</t>
  </si>
  <si>
    <t>안경 쓴 박쥐가 태어났어요</t>
  </si>
  <si>
    <t>클레르 드루앵 글;이자벨 샤틀라르 그림;이윤영 옮김</t>
  </si>
  <si>
    <t>윌드아이즈</t>
  </si>
  <si>
    <t>JD0000024637</t>
  </si>
  <si>
    <t>가나출판사</t>
  </si>
  <si>
    <t>JD0000024638</t>
  </si>
  <si>
    <t>JD0000024639</t>
  </si>
  <si>
    <t>어린이 과학 형사대 CSI. 19, CSI, 소중한 우정을 지키다</t>
  </si>
  <si>
    <t>JD0000024640</t>
  </si>
  <si>
    <t>어린이 과학 형사대 CSI. 20, CSI 꿈을 향해 날다</t>
  </si>
  <si>
    <t>JD0000024641</t>
  </si>
  <si>
    <t>씨앗 : 역사를 바꾼 위대한 알갱이</t>
  </si>
  <si>
    <t>서경석 지음;이경국 그림</t>
  </si>
  <si>
    <t>JD0000024642</t>
  </si>
  <si>
    <t>왜 내가 동물이랑 친척이야?</t>
  </si>
  <si>
    <t>장-밥티스트 드 파나피유 글;브누아 페루;뤼시 리올랑 그림;박민정 옮김</t>
  </si>
  <si>
    <t>청어람주니어</t>
  </si>
  <si>
    <t>JD0000024643</t>
  </si>
  <si>
    <t>왜 방귀가 나올까？</t>
  </si>
  <si>
    <t>초 신타 글 그림;이영준 옮김</t>
  </si>
  <si>
    <t>한림출판사</t>
  </si>
  <si>
    <t>JD0000024644</t>
  </si>
  <si>
    <t>왜 생태계가 파괴되면 안 되나요?</t>
  </si>
  <si>
    <t>채화영 지음;최지영 그림</t>
  </si>
  <si>
    <t>JD0000024645</t>
  </si>
  <si>
    <t>외계인 사냥꾼을 위한 친절한 안내서</t>
  </si>
  <si>
    <t>마크 브레이크 글;콜린 잭 그림;유윤환 옮김</t>
  </si>
  <si>
    <t>조선Books</t>
  </si>
  <si>
    <t>JD0000024646</t>
  </si>
  <si>
    <t>우리 동네에는 어떤 나무들이 살고 있을까? : 사람과 함께 사는 나무 67가지</t>
  </si>
  <si>
    <t>김인숙;전지영;차경숙 지음</t>
  </si>
  <si>
    <t>파라북스</t>
  </si>
  <si>
    <t>JD0000024647</t>
  </si>
  <si>
    <t>우리와 함께 살아가는 식물 이야기 : KBS 어린이 독서왕 4학년 선정도서</t>
  </si>
  <si>
    <t>한영식 글;김명길 그림</t>
  </si>
  <si>
    <t>북허브</t>
  </si>
  <si>
    <t>JD0000024648</t>
  </si>
  <si>
    <t>울퉁불퉁 뿔레용과 유령 소동</t>
  </si>
  <si>
    <t>박정선 지음;백두리 그림</t>
  </si>
  <si>
    <t>JD0000024649</t>
  </si>
  <si>
    <t>공생 : 자연과 함께 살아요</t>
  </si>
  <si>
    <t>김은의 지음;나하나 그림</t>
  </si>
  <si>
    <t>맥스퍼블리싱</t>
  </si>
  <si>
    <t>JD0000024650</t>
  </si>
  <si>
    <t>자연의 색이 품은 비밀</t>
  </si>
  <si>
    <t>최재천;서수연 글;그림: 소복이</t>
  </si>
  <si>
    <t>JD0000024651</t>
  </si>
  <si>
    <t>잡아먹을 수 없는 것을 잡아먹기</t>
  </si>
  <si>
    <t>아나톨리 긴;이리나 안드르제예브스카야 지음;한미희 옮김</t>
  </si>
  <si>
    <t>양철북출판사</t>
  </si>
  <si>
    <t>JD0000024652</t>
  </si>
  <si>
    <t>지구 바깥세상 우주에는</t>
  </si>
  <si>
    <t>클라이브 기퍼드 지음;옮긴이: 홍승수</t>
  </si>
  <si>
    <t>JD0000024653</t>
  </si>
  <si>
    <t>지금 사막에는</t>
  </si>
  <si>
    <t>JD0000024654</t>
  </si>
  <si>
    <t>지금 정글에는</t>
  </si>
  <si>
    <t>JD0000024655</t>
  </si>
  <si>
    <t>(지켜라!) 멸종 위기의 동식물</t>
  </si>
  <si>
    <t>백은영 지음;허라미 그림</t>
  </si>
  <si>
    <t>JD0000024656</t>
  </si>
  <si>
    <t>(진짜 진짜 재밌는) 바다 그림책 : 처음 만나는 신기한 수중생물 그림책!</t>
  </si>
  <si>
    <t>수잔 바라클로우;브라이언 러스트;김맑아</t>
  </si>
  <si>
    <t>JD0000024657</t>
  </si>
  <si>
    <t>JD0000024658</t>
  </si>
  <si>
    <t>짝을 찾는 동물들 : 동물의 구애</t>
  </si>
  <si>
    <t>JD0000024659</t>
  </si>
  <si>
    <t>(초등학생을 위한) 부엌에서 하는 맛있는 실험</t>
  </si>
  <si>
    <t>가켄편집부 지음;홍성민 옮김</t>
  </si>
  <si>
    <t>JD0000024660</t>
  </si>
  <si>
    <t>탈출할 수 없는 곳을 탈출하기</t>
  </si>
  <si>
    <t>JD0000024661</t>
  </si>
  <si>
    <t>툴툴마녀는 수학을 싫어해!</t>
  </si>
  <si>
    <t>김정신 지음;김준영 그림</t>
  </si>
  <si>
    <t>JD0000024662</t>
  </si>
  <si>
    <t>화산이 생겼대</t>
  </si>
  <si>
    <t>JD0000024663</t>
  </si>
  <si>
    <t>서지원 글;문수민 그림</t>
  </si>
  <si>
    <t>JD0000024664</t>
  </si>
  <si>
    <t>WOW 지구 :  놀랍고 경이로운 지구 이야기!</t>
  </si>
  <si>
    <t>존 우드워드 저;김성은 옮김</t>
  </si>
  <si>
    <t>도서출판 드림피그(주)</t>
  </si>
  <si>
    <t>JD0000024665</t>
  </si>
  <si>
    <t>게 섰거라</t>
  </si>
  <si>
    <t>백명식 글.그림</t>
  </si>
  <si>
    <t>JD0000024666</t>
  </si>
  <si>
    <t>과학 두뇌 만들기. 1</t>
  </si>
  <si>
    <t>다이앤 스완슨 글;박성은 그림;윤소영 옮김</t>
  </si>
  <si>
    <t>JD0000024667</t>
  </si>
  <si>
    <t>과학 두뇌 만들기. 2</t>
  </si>
  <si>
    <t>다이앤 스완슨 지음;김혜란 그림;윤소영 옮김</t>
  </si>
  <si>
    <t>JD0000024668</t>
  </si>
  <si>
    <t>기똥찬 미래 과학 : 기후 변화로 달라진 세상, 2050년 미래 지구의 비밀</t>
  </si>
  <si>
    <t>글렌 머피 지음;그림: 마이크 필립스;옮김: 이현수</t>
  </si>
  <si>
    <t>JD0000024669</t>
  </si>
  <si>
    <t>김치와 신기한 발효 과학</t>
  </si>
  <si>
    <t>김동현 글;장효원 그림</t>
  </si>
  <si>
    <t>JD0000024670</t>
  </si>
  <si>
    <t>깨끗한 공원이 좋아요 : 나의 별 푸른 지구</t>
  </si>
  <si>
    <t>찰스 기냐;애그 자트코우스카;공상공장</t>
  </si>
  <si>
    <t>JD0000024671</t>
  </si>
  <si>
    <t>날씨전쟁</t>
  </si>
  <si>
    <t>토니 브래드먼 지음;김영선 옮김;최석운 그림</t>
  </si>
  <si>
    <t>JD0000024672</t>
  </si>
  <si>
    <t>내 맘대로 먹고 싶어</t>
  </si>
  <si>
    <t>고토 류지 글;하세가와 토모코 그림;고향옥 옮김</t>
  </si>
  <si>
    <t>JD0000024673</t>
  </si>
  <si>
    <t>달리는 기계, 개화차, 자전거</t>
  </si>
  <si>
    <t>정하섭 지음;그린이: 조승연</t>
  </si>
  <si>
    <t>보림출판사</t>
  </si>
  <si>
    <t>JD0000024674</t>
  </si>
  <si>
    <t>대단한 소금이야!</t>
  </si>
  <si>
    <t>신연호;유남영</t>
  </si>
  <si>
    <t>JD0000024675</t>
  </si>
  <si>
    <t>떡볶이 주세요 : 음식 유래담</t>
  </si>
  <si>
    <t>김은의 글;김언희 그림</t>
  </si>
  <si>
    <t>JD0000024676</t>
  </si>
  <si>
    <t>맑은 물이 좋아요 : 나의 별 푸른 지구</t>
  </si>
  <si>
    <t>JD0000024677</t>
  </si>
  <si>
    <t>(맛있는) 짜장면의 역사</t>
  </si>
  <si>
    <t>글쓴이: 박남정;그린이: 이루다</t>
  </si>
  <si>
    <t>JD0000024678</t>
  </si>
  <si>
    <t>바다 이야기 = (The)Ocean Story</t>
  </si>
  <si>
    <t>존 세븐 지음;재나 크리스티;초록색연필</t>
  </si>
  <si>
    <t>JD0000024679</t>
  </si>
  <si>
    <t>우리 몸은 음식으로 만들어져요</t>
  </si>
  <si>
    <t>타케무라 토시코 글;키즈키 스미요시 그림;임솔잎 옮김</t>
  </si>
  <si>
    <t>JD0000024680</t>
  </si>
  <si>
    <t>이 똥 저 똥 신기한 똥!</t>
  </si>
  <si>
    <t>돈 쿠식 지음;윤소영 엮음</t>
  </si>
  <si>
    <t>JD0000024681</t>
  </si>
  <si>
    <t>이제 우리가 지구를 구해요 : 나무심기파티</t>
  </si>
  <si>
    <t>펠릭스와 친구들 지음;김시형 옮김</t>
  </si>
  <si>
    <t>노란상상</t>
  </si>
  <si>
    <t>JD0000024682</t>
  </si>
  <si>
    <t>(인간의 오랜 친구) 개</t>
  </si>
  <si>
    <t>김황 지음;김은주 그림</t>
  </si>
  <si>
    <t>JD0000024683</t>
  </si>
  <si>
    <t>재활용이 좋아요 : 나의 별 푸른 지구</t>
  </si>
  <si>
    <t>찰스 기냐 지음;그림: 애그 자트코우스카;옮김: 공상공장</t>
  </si>
  <si>
    <t>JD0000024684</t>
  </si>
  <si>
    <t>지구가 감기에 걸렸어요</t>
  </si>
  <si>
    <t>산느 마리 갈리에즈 지음;그림: 산드린 롬므;옮김: 아이생각</t>
  </si>
  <si>
    <t>JD0000024685</t>
  </si>
  <si>
    <t>지구야 내가 널 지켜 줄게</t>
  </si>
  <si>
    <t>사토 가시와 글.그림;이지현 옮김</t>
  </si>
  <si>
    <t>JD0000024686</t>
  </si>
  <si>
    <t>지구의 자연</t>
  </si>
  <si>
    <t>에마뉘엘 파루아시앵 글;네르나르 알뤼니 [외] 그림;과학상상 옮김</t>
  </si>
  <si>
    <t>큰북작은북</t>
  </si>
  <si>
    <t>JD0000024687</t>
  </si>
  <si>
    <t>착한 먹거리 fighting : 세상을 건강하게 바꾸는 작은 실천</t>
  </si>
  <si>
    <t>남석기 [외] 지음;그린이: 우덕환;최달수</t>
  </si>
  <si>
    <t>어린른이</t>
  </si>
  <si>
    <t>JD0000024688</t>
  </si>
  <si>
    <t>(서울대학교와 함께 하는) 환경 프로젝트 우리들의 빗물 이야기  : 학생편</t>
  </si>
  <si>
    <t>한무영;서은정 지음</t>
  </si>
  <si>
    <t>JD0000024689</t>
  </si>
  <si>
    <t>공부가 되는 세계의 건축</t>
  </si>
  <si>
    <t>에타 카너 지음;스티븐 매키천 그림;정은아 옮김</t>
  </si>
  <si>
    <t>JD0000024690</t>
  </si>
  <si>
    <t>그림으로 쓴 편지</t>
  </si>
  <si>
    <t>강민경 글;조현숙 그림</t>
  </si>
  <si>
    <t>을파소</t>
  </si>
  <si>
    <t>JD0000024691</t>
  </si>
  <si>
    <t>(생각을 새긴 조각가) 김종영</t>
  </si>
  <si>
    <t>조은정 글</t>
  </si>
  <si>
    <t>나무숲</t>
  </si>
  <si>
    <t>JD0000024692</t>
  </si>
  <si>
    <t>김홍도 : 조선을 사랑한 화가</t>
  </si>
  <si>
    <t>김경우 지음;심가인 그림</t>
  </si>
  <si>
    <t>JD0000024693</t>
  </si>
  <si>
    <t>명화로 만나는 서양미술사 : 온 가족의 예술 교양서. 1, 알타미라 동굴 벽화에서 로코코 미술까지</t>
  </si>
  <si>
    <t>최병용 지음</t>
  </si>
  <si>
    <t>JD0000024694</t>
  </si>
  <si>
    <t>명화로 만나는 서양미술사 : 온 가족의 예술 교양서. 2, 신고전주의에서 현대 추상 미술까지</t>
  </si>
  <si>
    <t>JD0000024695</t>
  </si>
  <si>
    <t>명화를 남긴 최고의 화가들</t>
  </si>
  <si>
    <t>루스 브로클허스트;로지 디킨스;에비게일 휘틀리;마크 비치 [공]지음;한지희 옮김</t>
  </si>
  <si>
    <t>JD0000024696</t>
  </si>
  <si>
    <t>서양 미술사 박물관 : 기법으로 보는 서양 미술의 역사</t>
  </si>
  <si>
    <t>클라우디오 메를로 지음;최병진 옮김</t>
  </si>
  <si>
    <t>JD0000024697</t>
  </si>
  <si>
    <t>(역사와 미술이 재밌어지는) 김홍도 갤러리</t>
  </si>
  <si>
    <t>이광표 글;채원경 그림</t>
  </si>
  <si>
    <t>JD0000024698</t>
  </si>
  <si>
    <t>톡톡 튀는 소녀를 위한 코디 수첩 : 패션. 1</t>
  </si>
  <si>
    <t>서호;진현 글·그림</t>
  </si>
  <si>
    <t>JD0000024699</t>
  </si>
  <si>
    <t>톡톡 튀는 소녀를 위한 코디 수첩 : 헤어. 2, 헤어</t>
  </si>
  <si>
    <t>서호 글·그림</t>
  </si>
  <si>
    <t>JD0000024700</t>
  </si>
  <si>
    <t>피카소가 모나리자를 그린다면? : 모나리자로 알아보는 서양 미술사</t>
  </si>
  <si>
    <t>표트르 바르소니;이수원 옮김</t>
  </si>
  <si>
    <t>JD0000024701</t>
  </si>
  <si>
    <t>화각 삼층장 이야기</t>
  </si>
  <si>
    <t>지혜라 글·그림</t>
  </si>
  <si>
    <t>JD0000024702</t>
  </si>
  <si>
    <t>(30일 만에 끝내는) 공식이의 영어일기 공식:초급편</t>
  </si>
  <si>
    <t>YBM Si-sa</t>
  </si>
  <si>
    <t>JD0000024703</t>
  </si>
  <si>
    <t>(Kim Yuna) 김연아</t>
  </si>
  <si>
    <t>비올라 최;Kim Youngsung 지음;김완진 일러스트</t>
  </si>
  <si>
    <t>영진미디어</t>
  </si>
  <si>
    <t>JD0000024704</t>
  </si>
  <si>
    <t>Why oh why are deserts dry? : All about deserts</t>
  </si>
  <si>
    <t>by Tish Rabe;illustrated by Aristides Ruiz;Joe Mathieu</t>
  </si>
  <si>
    <t>Random House</t>
  </si>
  <si>
    <t>JD0000024705</t>
  </si>
  <si>
    <t>Ice is nice! : all about the North and South Poles</t>
  </si>
  <si>
    <t>by Bonnie Worth;illustrated by Aristides Ruiz and Joe Mathieu</t>
  </si>
  <si>
    <t>JD0000024706</t>
  </si>
  <si>
    <t>Would you rather be a pollywog? : all about pond life</t>
  </si>
  <si>
    <t>by Bonnie Worth;illustrated by Aristides Ruiz;Joe Mathieu</t>
  </si>
  <si>
    <t>JD0000024707</t>
  </si>
  <si>
    <t>If i ran the rain forest : all about tropical rain forests</t>
  </si>
  <si>
    <t>Random house</t>
  </si>
  <si>
    <t>JD0000024708</t>
  </si>
  <si>
    <t>Prince Cherry Salmon</t>
  </si>
  <si>
    <t>Seo Ul</t>
  </si>
  <si>
    <t>Sansomeogeunchaek</t>
  </si>
  <si>
    <t>JD0000024709</t>
  </si>
  <si>
    <t>내 생애 마지막 영문법 : The Last Grammar in My Life</t>
  </si>
  <si>
    <t>박희석 지음;조양순 그림</t>
  </si>
  <si>
    <t>JD0000024710</t>
  </si>
  <si>
    <t>명작 안에 고사성어 있다!</t>
  </si>
  <si>
    <t>글: 강영주;그림: 최승훈;김태형</t>
  </si>
  <si>
    <t>JD0000024711</t>
  </si>
  <si>
    <t>(미국 어린이) 영단어 발음 비법</t>
  </si>
  <si>
    <t>스티브 박 지음</t>
  </si>
  <si>
    <t>애플북21</t>
  </si>
  <si>
    <t>JD0000024712</t>
  </si>
  <si>
    <t>(바른 언어 습관이 쑥쑥) 말풍선 왕국에 놀러 와! : 쏙쏙 채우고 또박또박 말하는 말풍선 놀이</t>
  </si>
  <si>
    <t>안영은 지음;박재현 그림</t>
  </si>
  <si>
    <t>JD0000024713</t>
  </si>
  <si>
    <t>어휘력 쑥쑥 이야기 고사성어</t>
  </si>
  <si>
    <t>아르고나인 스튜디오</t>
  </si>
  <si>
    <t>JD0000024714</t>
  </si>
  <si>
    <t>(김환영의) 영어 천자문</t>
  </si>
  <si>
    <t>김환영 지음</t>
  </si>
  <si>
    <t>혜지원</t>
  </si>
  <si>
    <t>JD0000024715</t>
  </si>
  <si>
    <t>요리 한 그릇, 영어 한 스푼 : 만만한 요리로 아이의 오감을 깨우는 엄마표 영어요리체험</t>
  </si>
  <si>
    <t>이명진 저</t>
  </si>
  <si>
    <t>지혜정원</t>
  </si>
  <si>
    <t>JD0000024716</t>
  </si>
  <si>
    <t>(우리 아이 첫) 한글사전</t>
  </si>
  <si>
    <t>HR기획 엮음;박민주 그림</t>
  </si>
  <si>
    <t>JD0000024717</t>
  </si>
  <si>
    <t>우리는 지금 일본으로 간다</t>
  </si>
  <si>
    <t>이수희 저</t>
  </si>
  <si>
    <t>JD0000024718</t>
  </si>
  <si>
    <t>위풍당당 고사성어 자신만만 국어왕 : 고전으로 보는 사자성어</t>
  </si>
  <si>
    <t>남상욱 글;박정인 그림</t>
  </si>
  <si>
    <t>상상의집</t>
  </si>
  <si>
    <t>JD0000024719</t>
  </si>
  <si>
    <t>일본어회화 터닝포인트 : 명품드라마 속에 감춰진 감각적인 표현을 찾아라</t>
  </si>
  <si>
    <t>지은이: 박영란</t>
  </si>
  <si>
    <t>이비컴</t>
  </si>
  <si>
    <t>JD0000024720</t>
  </si>
  <si>
    <t>전교 1등 영어일기 따라잡기</t>
  </si>
  <si>
    <t>방지현 지음</t>
  </si>
  <si>
    <t>리더북스</t>
  </si>
  <si>
    <t>JD0000024721</t>
  </si>
  <si>
    <t>즐거운 영어독서록 쓰기</t>
  </si>
  <si>
    <t>강승임;임지은 공저</t>
  </si>
  <si>
    <t>아주큰선물</t>
  </si>
  <si>
    <t>JD0000024722</t>
  </si>
  <si>
    <t>티끌 모아 속담 문장력 일취월장</t>
  </si>
  <si>
    <t>글: 정윤경;그림: 백명식</t>
  </si>
  <si>
    <t>JD0000024723</t>
  </si>
  <si>
    <t>황금 알을 낳는 거위 = 下金蛋的?</t>
  </si>
  <si>
    <t>원작: 이솝;편저: 정선화</t>
  </si>
  <si>
    <t>제이플러스</t>
  </si>
  <si>
    <t>JD0000024724</t>
  </si>
  <si>
    <t>야마모토 유카 글;요시야스 그림;이정민 역</t>
  </si>
  <si>
    <t>노란우산</t>
  </si>
  <si>
    <t>JD0000024725</t>
  </si>
  <si>
    <t>김리리 글;조승연 그림</t>
  </si>
  <si>
    <t>JD0000024726</t>
  </si>
  <si>
    <t>강 너머 저쪽에는</t>
  </si>
  <si>
    <t>마르타 카라스코 글.그림;이정하 옮김</t>
  </si>
  <si>
    <t>JD0000024727</t>
  </si>
  <si>
    <t>거문오름의 동굴들 : 용암이 남긴 비밀, 유네스코 세계 자연유산·거문오름의 동굴들</t>
  </si>
  <si>
    <t>정창훈 글;조승연 그림</t>
  </si>
  <si>
    <t>JD0000024728</t>
  </si>
  <si>
    <t>걱정 마, 다 잘될 거야</t>
  </si>
  <si>
    <t>메리 어메이토 글;안토니오 카파로 그림;유수아 옮김</t>
  </si>
  <si>
    <t>JD0000024729</t>
  </si>
  <si>
    <t>게임 파티</t>
  </si>
  <si>
    <t>최은영 글;서현 그림</t>
  </si>
  <si>
    <t>JD0000024730</t>
  </si>
  <si>
    <t>고양이 피터 : 멋진 내 단추 네 개. 1</t>
  </si>
  <si>
    <t>에릭 리트윈;제임스 딘 글;이진경 옮김</t>
  </si>
  <si>
    <t>상상의 힘</t>
  </si>
  <si>
    <t>JD0000024731</t>
  </si>
  <si>
    <t>고집쟁이 카르헨 : 엄마 아빠랑 함께 읽는 동화</t>
  </si>
  <si>
    <t>로트라우트 수잔네 베르너 지음;전재민 옮김</t>
  </si>
  <si>
    <t>중앙출판사</t>
  </si>
  <si>
    <t>JD0000024732</t>
  </si>
  <si>
    <t>곤지곤지 잼잼</t>
  </si>
  <si>
    <t>최숙희 글·그림</t>
  </si>
  <si>
    <t>JD0000024733</t>
  </si>
  <si>
    <t>(공부가 되는) 세계명단편. 1</t>
  </si>
  <si>
    <t>오 헨리;알퐁스 도데;니콜라이 고골;라빈드라나드 타고르;빅토르 위고;.글공작소</t>
  </si>
  <si>
    <t>JD0000024734</t>
  </si>
  <si>
    <t>(공부가 되는) 세계명단편. 2</t>
  </si>
  <si>
    <t>기 드 모파상;엘린 펠린;장 지오노;프리드리히 실러;.글공작소</t>
  </si>
  <si>
    <t>JD0000024735</t>
  </si>
  <si>
    <t>(공부가 되는) 세계명단편. 3</t>
  </si>
  <si>
    <t>알퐁스 도데;안톤 체호프;레프 니콜라예비치 톨스토이;오 헨리;윌리엄 위마르크 제이콥;.글공작소</t>
  </si>
  <si>
    <t>JD0000024736</t>
  </si>
  <si>
    <t>공부가 되는 셰익스피어 4대 비극</t>
  </si>
  <si>
    <t>원작: 윌리엄 셰익스피어;엮음: 글공작소</t>
  </si>
  <si>
    <t>JD0000024737</t>
  </si>
  <si>
    <t>공부가 제일 쉬워요</t>
  </si>
  <si>
    <t>서지원 글;진세박 그림</t>
  </si>
  <si>
    <t>좋은책어린이</t>
  </si>
  <si>
    <t>JD0000024738</t>
  </si>
  <si>
    <t>구름으로 만든 옷</t>
  </si>
  <si>
    <t>마이클 캐치풀;앨리슨 제이;글맛</t>
  </si>
  <si>
    <t>JD0000024739</t>
  </si>
  <si>
    <t>국경을 넘는 아이들</t>
  </si>
  <si>
    <t>박현숙 글;한수진 그림</t>
  </si>
  <si>
    <t>JD0000024740</t>
  </si>
  <si>
    <t>그래, 나는 생쥐야! = Little Nelly's Big Book</t>
  </si>
  <si>
    <t>피파 굿하트;앤디 롤런드;글맛</t>
  </si>
  <si>
    <t>JD0000024741</t>
  </si>
  <si>
    <t>글씨 쓰기 삼총사 : 글을 읽고 쓰는 습관을 길러주는 동화</t>
  </si>
  <si>
    <t>글: 게드 소비지크;우베 슈테커;그림: 하이케 게오르기;번역: 최정인</t>
  </si>
  <si>
    <t>머스트비</t>
  </si>
  <si>
    <t>JD0000024742</t>
  </si>
  <si>
    <t>기억의 열쇠, 11</t>
  </si>
  <si>
    <t>패트리샤 레일리 기프 지음;햇살과나무꾼 옮김</t>
  </si>
  <si>
    <t>JD0000024743</t>
  </si>
  <si>
    <t>기이하고 기묘한 서커스</t>
  </si>
  <si>
    <t>은미 글·그림</t>
  </si>
  <si>
    <t>JD0000024744</t>
  </si>
  <si>
    <t>기호 3번 안석뽕 : 진형민 장편동화</t>
  </si>
  <si>
    <t>진형민 지음;한진선 그림</t>
  </si>
  <si>
    <t>JD0000024745</t>
  </si>
  <si>
    <t>길고양이 콩가</t>
  </si>
  <si>
    <t>잉그리드 리 글;정회성 옮김;김유진 그림</t>
  </si>
  <si>
    <t>별천지</t>
  </si>
  <si>
    <t>JD0000024746</t>
  </si>
  <si>
    <t>길을 찾는 아이들 : 초등학생들이 만든 제주 곽금올레</t>
  </si>
  <si>
    <t>박채란 글;손희영 그림</t>
  </si>
  <si>
    <t>JD0000024747</t>
  </si>
  <si>
    <t>꼬마 단추 푸치</t>
  </si>
  <si>
    <t>아사노 마스미 글;아라이 료지 그림;고향옥 옮김</t>
  </si>
  <si>
    <t>JD0000024748</t>
  </si>
  <si>
    <t>(꼼꼼의사와 덜렁조수의) 수상한 병원</t>
  </si>
  <si>
    <t>유시연 글·그림</t>
  </si>
  <si>
    <t>JD0000024749</t>
  </si>
  <si>
    <t>꽃님이</t>
  </si>
  <si>
    <t>김향이 글;설은영 그림</t>
  </si>
  <si>
    <t>JD0000024750</t>
  </si>
  <si>
    <t>꿰맨 머리 몬스터. 1, 그로테스크 성의 생명체</t>
  </si>
  <si>
    <t>가이 배스 지음;그린이: 피트 윌리엄슨;옮긴이: 최진우</t>
  </si>
  <si>
    <t>세상모든책</t>
  </si>
  <si>
    <t>JD0000024751</t>
  </si>
  <si>
    <t>꿰맨 머리 몬스터. 2, 그로테스크 성의 생명체</t>
  </si>
  <si>
    <t>JD0000024752</t>
  </si>
  <si>
    <t>꿰맨 머리 몬스터. 3, 그로테스크 성의 생명체</t>
  </si>
  <si>
    <t>JD0000024753</t>
  </si>
  <si>
    <t>나 하나쯤 뭐 어때? : 올바른 공공장소예절 지키기</t>
  </si>
  <si>
    <t>이지현 글;서현 그림</t>
  </si>
  <si>
    <t>JD0000024754</t>
  </si>
  <si>
    <t>나는 개다</t>
  </si>
  <si>
    <t>우봉규 지음;양상용 그림</t>
  </si>
  <si>
    <t>동산사</t>
  </si>
  <si>
    <t>JD0000024755</t>
  </si>
  <si>
    <t>나오미와 병아리</t>
  </si>
  <si>
    <t>아비라마 골란 지음;라야 카라스;공상공장</t>
  </si>
  <si>
    <t>JD0000024756</t>
  </si>
  <si>
    <t>나의 첫 책가방</t>
  </si>
  <si>
    <t>에마 앨런 글;프레야 블랙우드 그림;천미나 옮김</t>
  </si>
  <si>
    <t>JD0000024757</t>
  </si>
  <si>
    <t>난 꼭 1등할 거야! : 소녀들을 위한 머리 쏙쏙 학습 가이드북</t>
  </si>
  <si>
    <t>JD0000024758</t>
  </si>
  <si>
    <t>날아라 숫자 0</t>
  </si>
  <si>
    <t>조앤 홀럽 글;탐 리히텐헬드 그림;이혜선 옮김</t>
  </si>
  <si>
    <t>JD0000024759</t>
  </si>
  <si>
    <t>남다른은 남달라</t>
  </si>
  <si>
    <t>박서진 지음;최해영 그림</t>
  </si>
  <si>
    <t>JD0000024760</t>
  </si>
  <si>
    <t>내 귀는 황금 귀</t>
  </si>
  <si>
    <t>최정현 지음;그림: 대성</t>
  </si>
  <si>
    <t>JD0000024761</t>
  </si>
  <si>
    <t>내 꿈이 최고야</t>
  </si>
  <si>
    <t>코랄리 소도 글;니콜라 구니 그림;김현희 옮김</t>
  </si>
  <si>
    <t>JD0000024762</t>
  </si>
  <si>
    <t>내 마음이 철렁!</t>
  </si>
  <si>
    <t>자넷 A. 홈스 지음;그림: 다니엘라 저메인;옮김: 김호정</t>
  </si>
  <si>
    <t>JD0000024763</t>
  </si>
  <si>
    <t>내 베개 어디 있어?</t>
  </si>
  <si>
    <t>하나야마 가즈미 글·그림;김숙 옮김</t>
  </si>
  <si>
    <t>JD0000024764</t>
  </si>
  <si>
    <t>(내 이름은) 구구 스니커즈</t>
  </si>
  <si>
    <t>김유 지음;오정택 그림</t>
  </si>
  <si>
    <t>JD0000024765</t>
  </si>
  <si>
    <t>네 친구는 어디 있니?</t>
  </si>
  <si>
    <t>노태완 글;권진희 그림</t>
  </si>
  <si>
    <t>JD0000024766</t>
  </si>
  <si>
    <t>노벨트에서 평범한 건 없어</t>
  </si>
  <si>
    <t>잭 갠토스 지음;이은숙 옮김</t>
  </si>
  <si>
    <t>JD0000024767</t>
  </si>
  <si>
    <t>놀이터의 회오리 바람</t>
  </si>
  <si>
    <t>김혜연 글;이광익 그림</t>
  </si>
  <si>
    <t>JD0000024768</t>
  </si>
  <si>
    <t>농장을 부탁해!</t>
  </si>
  <si>
    <t>리다 디야스트라 지음;노엘 스미트;강형복</t>
  </si>
  <si>
    <t>JD0000024769</t>
  </si>
  <si>
    <t>높이 더 높이</t>
  </si>
  <si>
    <t>제르마노 쥘로 지음;알베르틴 그림;조정훈</t>
  </si>
  <si>
    <t>JD0000024770</t>
  </si>
  <si>
    <t>누구나 공주님</t>
  </si>
  <si>
    <t>브리짓 민느 지음;메이럴 아이케르만;정신재</t>
  </si>
  <si>
    <t>JD0000024771</t>
  </si>
  <si>
    <t>누구세요?</t>
  </si>
  <si>
    <t>엠마누엘레 베르토시 지음;이순영 옮김</t>
  </si>
  <si>
    <t>JD0000024772</t>
  </si>
  <si>
    <t>다 내꺼야</t>
  </si>
  <si>
    <t>데비 월드먼 지음;리타 퓨틀;그린이: 신디 레벨;옮긴이: 신은비</t>
  </si>
  <si>
    <t>JD0000024773</t>
  </si>
  <si>
    <t>다락방 명탐정 : 도깨비방망이를 찾아라!</t>
  </si>
  <si>
    <t>성완 지음;소윤경 그림</t>
  </si>
  <si>
    <t>JD0000024774</t>
  </si>
  <si>
    <t>다모와 검녀 : 조선의 다섯 여인이 남긴 다섯 빛깔의 삶</t>
  </si>
  <si>
    <t>송지양 지음;안석경;이희평;이원명];글쓴이: 고영;그린이: 성민화</t>
  </si>
  <si>
    <t>JD0000024775</t>
  </si>
  <si>
    <t>(달 떠 온다) 강강술래</t>
  </si>
  <si>
    <t>한미경 지음;그림: 정현지</t>
  </si>
  <si>
    <t>JD0000024776</t>
  </si>
  <si>
    <t>달팽이 따라잡기</t>
  </si>
  <si>
    <t>강은령 외 지음</t>
  </si>
  <si>
    <t>JD0000024777</t>
  </si>
  <si>
    <t>대한민국 글쓰기 교과서</t>
  </si>
  <si>
    <t>김종상 글;그림: 상명</t>
  </si>
  <si>
    <t>파란정원</t>
  </si>
  <si>
    <t>JD0000024778</t>
  </si>
  <si>
    <t>더 놀고 자면 안 돼요?</t>
  </si>
  <si>
    <t>데버러 닐랜드 글·그림;옮김: 최정선</t>
  </si>
  <si>
    <t>JD0000024779</t>
  </si>
  <si>
    <t>덤프차가 꽈당!</t>
  </si>
  <si>
    <t>오하시 에미코 글;다나카 시로 그림;이기웅 옮김</t>
  </si>
  <si>
    <t>JD0000024780</t>
  </si>
  <si>
    <t>도깨비 느티 서울 입성기</t>
  </si>
  <si>
    <t>천효정 글;오정택 그림</t>
  </si>
  <si>
    <t>JD0000024781</t>
  </si>
  <si>
    <t>도니조아 아저씨의 돈 버는 방법</t>
  </si>
  <si>
    <t>타카도노 호코 지음;고향옥 옮김</t>
  </si>
  <si>
    <t>JD0000024782</t>
  </si>
  <si>
    <t>독도 고래 외뿔이</t>
  </si>
  <si>
    <t>장석주 지음;그림: 송영경</t>
  </si>
  <si>
    <t>JD0000024783</t>
  </si>
  <si>
    <t>동물원 우리집은 땅땅땅</t>
  </si>
  <si>
    <t>김종상 지음;유정연 그림</t>
  </si>
  <si>
    <t>JD0000024784</t>
  </si>
  <si>
    <t>동진이는 나보다 용감했다 : 김경희 동화집</t>
  </si>
  <si>
    <t>김경희 지음;그린이: 전미화</t>
  </si>
  <si>
    <t>JD0000024785</t>
  </si>
  <si>
    <t>뒤바뀐 여름 방학 : 여름</t>
  </si>
  <si>
    <t>어린이 통합교과 연구회</t>
  </si>
  <si>
    <t>JD0000024786</t>
  </si>
  <si>
    <t>땅꼬마의 수상한 친구들</t>
  </si>
  <si>
    <t>핀 올레 하인리히 지음;라운 플뤼겐링;김영진</t>
  </si>
  <si>
    <t>JD0000024787</t>
  </si>
  <si>
    <t>떡시루 굴리기</t>
  </si>
  <si>
    <t>양승현 글;그림: 정희선</t>
  </si>
  <si>
    <t>북이십일 을파소</t>
  </si>
  <si>
    <t>JD0000024788</t>
  </si>
  <si>
    <t>떼루떼루</t>
  </si>
  <si>
    <t>박연철 지음</t>
  </si>
  <si>
    <t>JD0000024789</t>
  </si>
  <si>
    <t>똑!똑!똑!</t>
  </si>
  <si>
    <t>헨리케 윌슨 글·그림;박진희 옮김</t>
  </si>
  <si>
    <t>JD0000024790</t>
  </si>
  <si>
    <t>똑똑해지고 싶어!</t>
  </si>
  <si>
    <t>수지 모건스턴 지음;클로드 K. 뒤브와 그림;김영신 옮김</t>
  </si>
  <si>
    <t>JD0000024791</t>
  </si>
  <si>
    <t>똘망똘망 왕국의 비밀</t>
  </si>
  <si>
    <t>김미숙 지음;윤지영 그림</t>
  </si>
  <si>
    <t>JD0000024792</t>
  </si>
  <si>
    <t>똥개가 잘 사는 법 : 김응 동시집</t>
  </si>
  <si>
    <t>김응 지음;박정섭 그림</t>
  </si>
  <si>
    <t>JD0000024793</t>
  </si>
  <si>
    <t>똥 치운 막대기</t>
  </si>
  <si>
    <t>문재갑 글;그린이: 김상아</t>
  </si>
  <si>
    <t>세용</t>
  </si>
  <si>
    <t>JD0000024794</t>
  </si>
  <si>
    <t>레모네이드 재판</t>
  </si>
  <si>
    <t>재클린 데이비스 지음;이서용 옮김</t>
  </si>
  <si>
    <t>JD0000024795</t>
  </si>
  <si>
    <t>로봇 친구</t>
  </si>
  <si>
    <t>글·그림: 오세나</t>
  </si>
  <si>
    <t>JD0000024796</t>
  </si>
  <si>
    <t>리처드는 코딱지 파개</t>
  </si>
  <si>
    <t>지은이: 캐롤린 벡;그린이: 벤 허드슨;옮긴이: 신은비</t>
  </si>
  <si>
    <t>JD0000024797</t>
  </si>
  <si>
    <t>마고할미 세상을 발칵 뒤집은 날 : 거인 천지창조 유래담</t>
  </si>
  <si>
    <t>양혜원 지음;이지숙 그림</t>
  </si>
  <si>
    <t>JD0000024798</t>
  </si>
  <si>
    <t>밀가루 아기 키우기</t>
  </si>
  <si>
    <t>앤 파인 지음;노은정 옮김</t>
  </si>
  <si>
    <t>JD0000024799</t>
  </si>
  <si>
    <t>바나나가 쿵 하고</t>
  </si>
  <si>
    <t>제럴드 맥더멋 지음;김중철 옮김</t>
  </si>
  <si>
    <t>현북스</t>
  </si>
  <si>
    <t>JD0000024800</t>
  </si>
  <si>
    <t>바다로 간 오톨린</t>
  </si>
  <si>
    <t>크리스 리들 지음;송주은 옮김</t>
  </si>
  <si>
    <t>JD0000024801</t>
  </si>
  <si>
    <t>바둑이와 야옹이</t>
  </si>
  <si>
    <t>피터 매카티 글·그림;신윤조;이명희 옮김</t>
  </si>
  <si>
    <t>JD0000024802</t>
  </si>
  <si>
    <t>발레 교실에 놀러 온 드가 아저씨</t>
  </si>
  <si>
    <t>아나 오비올스 지음;조안 수비라나 그림;김민지 옮김</t>
  </si>
  <si>
    <t>JD0000024803</t>
  </si>
  <si>
    <t>배가 고파요</t>
  </si>
  <si>
    <t>곽상주 글·그림</t>
  </si>
  <si>
    <t>JD0000024804</t>
  </si>
  <si>
    <t>배고픔 없는 세상</t>
  </si>
  <si>
    <t>프랑수아 데이비드 글;올리비에 티에보 그림;전미연 옮김</t>
  </si>
  <si>
    <t>단비어린이</t>
  </si>
  <si>
    <t>JD0000024805</t>
  </si>
  <si>
    <t>백전백패 루저 축구부</t>
  </si>
  <si>
    <t>애비 지음;강윤정 옮김</t>
  </si>
  <si>
    <t>JD0000024806</t>
  </si>
  <si>
    <t>버드나무를 타고 올라간 용궁 : 강원도 전설을 창작한 그림동화책</t>
  </si>
  <si>
    <t>박성호 지음;그림: 신영우</t>
  </si>
  <si>
    <t>한결</t>
  </si>
  <si>
    <t>JD0000024807</t>
  </si>
  <si>
    <t>변신 쥐가 돌아왔다 : 최정금 장편동화</t>
  </si>
  <si>
    <t>지은이:최정금;옮긴이: 김무연</t>
  </si>
  <si>
    <t>별숲</t>
  </si>
  <si>
    <t>JD0000024808</t>
  </si>
  <si>
    <t>별사이다 한 병</t>
  </si>
  <si>
    <t>홍종의 글;주미 그림</t>
  </si>
  <si>
    <t>JD0000024809</t>
  </si>
  <si>
    <t>별 박물관</t>
  </si>
  <si>
    <t>푸른동시 동인 지음;임수진 그림</t>
  </si>
  <si>
    <t>JD0000024810</t>
  </si>
  <si>
    <t>병아리 100마리 대소동</t>
  </si>
  <si>
    <t>빌리 애런슨 이야기;제니퍼 옥슬리 그림;권기대 [옮김]</t>
  </si>
  <si>
    <t>JD0000024811</t>
  </si>
  <si>
    <t>보트에 탄 소년과 곰</t>
  </si>
  <si>
    <t>데이브 셸턴 지음;이가희 옮김</t>
  </si>
  <si>
    <t>가람어린이</t>
  </si>
  <si>
    <t>JD0000024812</t>
  </si>
  <si>
    <t>불 사냥꾼 아쿠이카 : 하비에르 말피카 장편동화</t>
  </si>
  <si>
    <t>하비에르 말피카 지음;엑토르 모랄레스 그림;김정하 옮김</t>
  </si>
  <si>
    <t>JD0000024813</t>
  </si>
  <si>
    <t>붉은 암탉 = (The)Little Red Hen</t>
  </si>
  <si>
    <t>필라르 마르티네즈 지음;마르코 소마;강형복</t>
  </si>
  <si>
    <t>JD0000024814</t>
  </si>
  <si>
    <t>블랙 독</t>
  </si>
  <si>
    <t>레비 핀폴드;천미나 옮김</t>
  </si>
  <si>
    <t>북스토리아이</t>
  </si>
  <si>
    <t>JD0000024815</t>
  </si>
  <si>
    <t>블룸카의 일기</t>
  </si>
  <si>
    <t>이보나 흐미엘레프스카;이지원 옮김</t>
  </si>
  <si>
    <t>JD0000024816</t>
  </si>
  <si>
    <t>비거, 하늘을 날다</t>
  </si>
  <si>
    <t>장성자 글;최현묵 그림</t>
  </si>
  <si>
    <t>해와 나무</t>
  </si>
  <si>
    <t>JD0000024817</t>
  </si>
  <si>
    <t>비둘기 똥 소동</t>
  </si>
  <si>
    <t>엘리자베스 베이글리 지음;마크 체임버스 그림;최용은 엮음</t>
  </si>
  <si>
    <t>JD0000024818</t>
  </si>
  <si>
    <t>비밀 : 우리 모두가 들어야 하는 이야기</t>
  </si>
  <si>
    <t>허은미 글;박현주 그림</t>
  </si>
  <si>
    <t>JD0000024819</t>
  </si>
  <si>
    <t>사과나무 위에 할머니</t>
  </si>
  <si>
    <t>미라 로베 글;수지 바이겔 그림;전재민 옮김</t>
  </si>
  <si>
    <t>JD0000024820</t>
  </si>
  <si>
    <t>사랑해</t>
  </si>
  <si>
    <t>글: 김민교;그림: 드브라브카 코라노빅</t>
  </si>
  <si>
    <t>JD0000024821</t>
  </si>
  <si>
    <t>사뿐사뿐 따삐르</t>
  </si>
  <si>
    <t>김한민 지음</t>
  </si>
  <si>
    <t>JD0000024822</t>
  </si>
  <si>
    <t>사이좋은 친구</t>
  </si>
  <si>
    <t>비르지니 알라디지 글;로랑스 잠스 그림;조정훈 옮김</t>
  </si>
  <si>
    <t>JD0000024823</t>
  </si>
  <si>
    <t>사이공에서 앨라배마까지</t>
  </si>
  <si>
    <t>탕하 라이 지음;흩날린;김난령</t>
  </si>
  <si>
    <t>JD0000024824</t>
  </si>
  <si>
    <t>사진 일기 쓰기</t>
  </si>
  <si>
    <t>권혜진 글;이주희 그림</t>
  </si>
  <si>
    <t>JD0000024825</t>
  </si>
  <si>
    <t>상우네 텃밭 가꾸기</t>
  </si>
  <si>
    <t>박소정 지음</t>
  </si>
  <si>
    <t>JD0000024826</t>
  </si>
  <si>
    <t>새 신이 생겼어요</t>
  </si>
  <si>
    <t>시바타 아이코 글;마루야마 아야코 그림;김소연 옮김</t>
  </si>
  <si>
    <t>천개의바람</t>
  </si>
  <si>
    <t>JD0000024827</t>
  </si>
  <si>
    <t>JD0000024828</t>
  </si>
  <si>
    <t>(생중계,) 고래 싸움</t>
  </si>
  <si>
    <t>정연철 글;윤예지 그림</t>
  </si>
  <si>
    <t>JD0000024829</t>
  </si>
  <si>
    <t>서서 자는 박쥐</t>
  </si>
  <si>
    <t>자니크 코트 지음;조정훈 옮김</t>
  </si>
  <si>
    <t>JD0000024830</t>
  </si>
  <si>
    <t>선생님은 너를 사랑해 왜냐하면</t>
  </si>
  <si>
    <t>강밀아 글;안경희 그림</t>
  </si>
  <si>
    <t>JD0000024831</t>
  </si>
  <si>
    <t>(세계 대표 작가들이 들려주는)마음 따뜻해지는 이야기</t>
  </si>
  <si>
    <t>한스 크리스티안 안데르센;오스카 T. 페레즈 그림;이가희 옮김</t>
  </si>
  <si>
    <t>JD0000024832</t>
  </si>
  <si>
    <t>세상에서 가장 특별한 너에게</t>
  </si>
  <si>
    <t>미카엘라 모건 글;캐롤라인 제인 처치 그림;이주은 옮김</t>
  </si>
  <si>
    <t>JD0000024833</t>
  </si>
  <si>
    <t>소금을 만드는 맷돌 : 바른 습관 고운 마음을 길러 주는 우리 옛이야기</t>
  </si>
  <si>
    <t>권규헌 글;이수희 그림</t>
  </si>
  <si>
    <t>JD0000024834</t>
  </si>
  <si>
    <t>소녀 이야기 : 일본군 위안부 피해자 = Herstory</t>
  </si>
  <si>
    <t>글·그림: 김준기</t>
  </si>
  <si>
    <t>JD0000024835</t>
  </si>
  <si>
    <t>(교과서 속 옛이야기로 보는) 속담이 백 개라도 꿰어야 국어왕</t>
  </si>
  <si>
    <t>강효미 글;최윤지 그림</t>
  </si>
  <si>
    <t>JD0000024836</t>
  </si>
  <si>
    <t>손 없는 색시</t>
  </si>
  <si>
    <t>임어진 글;김호랑 그림</t>
  </si>
  <si>
    <t>JD0000024837</t>
  </si>
  <si>
    <t>수상한 내 인생</t>
  </si>
  <si>
    <t>장 르뇨 글;에밀 브라보 그림;이충호 옮김</t>
  </si>
  <si>
    <t>JD0000024838</t>
  </si>
  <si>
    <t>수상한 마을</t>
  </si>
  <si>
    <t>이치카와 케이코 글;니시무라 토시오 그림;정희수 옮김</t>
  </si>
  <si>
    <t>멘트로</t>
  </si>
  <si>
    <t>JD0000024839</t>
  </si>
  <si>
    <t>(수상한) 여우 씨</t>
  </si>
  <si>
    <t>카타리나 그로스만-헨젤 글;공상공장 그림</t>
  </si>
  <si>
    <t>JD0000024840</t>
  </si>
  <si>
    <t>숨어 산 아이</t>
  </si>
  <si>
    <t>로익 도빌리에 지음;마르크 리자노 그림;그레그 살세도 채색;이효숙 옮김</t>
  </si>
  <si>
    <t>JD0000024841</t>
  </si>
  <si>
    <t>숭례문을 지켜라</t>
  </si>
  <si>
    <t>윤자명 글;김은경 그림</t>
  </si>
  <si>
    <t>JD0000024842</t>
  </si>
  <si>
    <t>숲 속 재봉사와 털뭉치 괴물 : 최향랑 그림책</t>
  </si>
  <si>
    <t>최향랑 지음;이진하 그림</t>
  </si>
  <si>
    <t>JD0000024843</t>
  </si>
  <si>
    <t>시간 가게</t>
  </si>
  <si>
    <t>이나영 글;윤정주 그림</t>
  </si>
  <si>
    <t>문학동네어린이</t>
  </si>
  <si>
    <t>JD0000024844</t>
  </si>
  <si>
    <t>시드니와 스텔라에게 생긴 일</t>
  </si>
  <si>
    <t>엠마 야렛;서소영</t>
  </si>
  <si>
    <t>JD0000024845</t>
  </si>
  <si>
    <t>(시조와 만나는) 위인 이야기 : 역사위인동화</t>
  </si>
  <si>
    <t>김영순 글;김선미 그림</t>
  </si>
  <si>
    <t>글사랑</t>
  </si>
  <si>
    <t>JD0000024846</t>
  </si>
  <si>
    <t>신기한 목탁 소리</t>
  </si>
  <si>
    <t>글: 한승원;그림: 김성희</t>
  </si>
  <si>
    <t>JD0000024847</t>
  </si>
  <si>
    <t>(신통방통) 독서감상문 쓰기</t>
  </si>
  <si>
    <t>유지은 글;주미 그림</t>
  </si>
  <si>
    <t>좋은책 어린이</t>
  </si>
  <si>
    <t>JD0000024848</t>
  </si>
  <si>
    <t>(신통방통) 받아쓰기</t>
  </si>
  <si>
    <t>서지원 글;심창국 그림</t>
  </si>
  <si>
    <t>JD0000024849</t>
  </si>
  <si>
    <t>싫어!</t>
  </si>
  <si>
    <t>카트린 괴퍼르트 글;마리온 괴델트 그림;박성원 옮김</t>
  </si>
  <si>
    <t>JD0000024850</t>
  </si>
  <si>
    <t>아가랑 두두랑 : 혼자 입어요. 1</t>
  </si>
  <si>
    <t>글: 디디에 뒤프레슨;그림: 아르멜 모데레;옮김: 이향</t>
  </si>
  <si>
    <t>JD0000024851</t>
  </si>
  <si>
    <t>아기랑 두두랑 : 기저귀 그만할래요. 2</t>
  </si>
  <si>
    <t>JD0000024852</t>
  </si>
  <si>
    <t>아기랑 두두랑 : 퐁당퐁당 목욕을 해요. 3</t>
  </si>
  <si>
    <t>JD0000024853</t>
  </si>
  <si>
    <t>아기랑 두두랑 : 쉿! 이제 잘 시간이에요. 4</t>
  </si>
  <si>
    <t>JD0000024854</t>
  </si>
  <si>
    <t>아기랑 두두랑 : 치카치카 이를 닦아요. 5</t>
  </si>
  <si>
    <t>JD0000024855</t>
  </si>
  <si>
    <t>아기랑 두두랑 : 포근포근 낮잠을 자요. 6</t>
  </si>
  <si>
    <t>JD0000024856</t>
  </si>
  <si>
    <t>아주 특별한 시위</t>
  </si>
  <si>
    <t>마이클 모퍼고 지음;김은영 옮김;안재선 그림</t>
  </si>
  <si>
    <t>JD0000024857</t>
  </si>
  <si>
    <t>(아홉 살에 읽는) 이상한 나라의 엘리스</t>
  </si>
  <si>
    <t>루이스 캐럴 원작;문정옥 엮음;강혜영 그림</t>
  </si>
  <si>
    <t>JD0000024858</t>
  </si>
  <si>
    <t>안녕, 또 봐!</t>
  </si>
  <si>
    <t>바오동니 지음;황제 그림;박영인 옮김</t>
  </si>
  <si>
    <t>JD0000024859</t>
  </si>
  <si>
    <t>(손미영의) 안녕, 멍멍 컹컹</t>
  </si>
  <si>
    <t>글·그림: 손미영</t>
  </si>
  <si>
    <t>JD0000024860</t>
  </si>
  <si>
    <t>안녕, 친구야</t>
  </si>
  <si>
    <t>강풀 지음</t>
  </si>
  <si>
    <t>JD0000024861</t>
  </si>
  <si>
    <t>(호시노 미치오의) 알래스카 이야기 = Life In Alaska</t>
  </si>
  <si>
    <t>호시노 미치오 지음;햇살과나무꾼 옮김</t>
  </si>
  <si>
    <t>JD0000024862</t>
  </si>
  <si>
    <t>앗, 방귀가 뽕!</t>
  </si>
  <si>
    <t>리퀴드브레인 지음</t>
  </si>
  <si>
    <t>JD0000024863</t>
  </si>
  <si>
    <t>야호! 신나는 어린이집</t>
  </si>
  <si>
    <t>자비에 드뇌 글.그림;이선오 옮김</t>
  </si>
  <si>
    <t>장영</t>
  </si>
  <si>
    <t>JD0000024864</t>
  </si>
  <si>
    <t>(야호!) 오늘은 유치원 가는 날 = Mom, It's My First Day Of Kindergarten!</t>
  </si>
  <si>
    <t>염혜원 지음</t>
  </si>
  <si>
    <t>JD0000024865</t>
  </si>
  <si>
    <t>얘들아, 연필시랑 놀자! : 연필시 동인 동시집</t>
  </si>
  <si>
    <t>지은이: 연필시 동인;그린이: 임수진</t>
  </si>
  <si>
    <t>JD0000024866</t>
  </si>
  <si>
    <t>어디가 이상해?</t>
  </si>
  <si>
    <t>이와이 도시오 글·그림;김숙 옮김</t>
  </si>
  <si>
    <t>JD0000024867</t>
  </si>
  <si>
    <t>어이, 친구!</t>
  </si>
  <si>
    <t>애덤 렉스 지음;글자 그림: 이준우;옮김: 한별</t>
  </si>
  <si>
    <t>JD0000024868</t>
  </si>
  <si>
    <t>엄마, 고마워요!</t>
  </si>
  <si>
    <t>정해왕 지음;박현주 그림</t>
  </si>
  <si>
    <t>JD0000024869</t>
  </si>
  <si>
    <t>엄마 만나러 가는 길 : 장편동화</t>
  </si>
  <si>
    <t>남인숙 지음;김광호 그림</t>
  </si>
  <si>
    <t>JD0000024870</t>
  </si>
  <si>
    <t>엄마! 괴물이야!</t>
  </si>
  <si>
    <t>릴리아나 시네토 지음;폴리 베르나테네;엄혜숙</t>
  </si>
  <si>
    <t>JD0000024871</t>
  </si>
  <si>
    <t>엄마는 우리 반 말썽쟁이</t>
  </si>
  <si>
    <t>모린 퍼거스 지음;마이크 로워리;공상공장</t>
  </si>
  <si>
    <t>JD0000024872</t>
  </si>
  <si>
    <t>엄마라서 행복해</t>
  </si>
  <si>
    <t>김일광 글;신영훈 그림</t>
  </si>
  <si>
    <t>JD0000024873</t>
  </si>
  <si>
    <t>엄마를 구출하라!</t>
  </si>
  <si>
    <t>김영진 지음</t>
  </si>
  <si>
    <t>JD0000024874</t>
  </si>
  <si>
    <t>엄마손은 약손 아기배는 똥배</t>
  </si>
  <si>
    <t>이소을 글·그림</t>
  </si>
  <si>
    <t>지니비니북스</t>
  </si>
  <si>
    <t>JD0000024875</t>
  </si>
  <si>
    <t>엘리베이터 대소동 = Une Mouffette Dans L'ascenseur!</t>
  </si>
  <si>
    <t>앙드레안느 그라통;루이즈 카트린느 베르즈롱;이정주</t>
  </si>
  <si>
    <t>JD0000024876</t>
  </si>
  <si>
    <t>여우 시집가고 호랑이 장가가고</t>
  </si>
  <si>
    <t>유다정 글;유승하 그림</t>
  </si>
  <si>
    <t>JD0000024877</t>
  </si>
  <si>
    <t>연들이 날고 있어</t>
  </si>
  <si>
    <t>마이클 모퍼고;최혜영;정미영</t>
  </si>
  <si>
    <t>JD0000024878</t>
  </si>
  <si>
    <t>열두 마리 새</t>
  </si>
  <si>
    <t>김희경 글;지연준 그림</t>
  </si>
  <si>
    <t>JD0000024879</t>
  </si>
  <si>
    <t>옆집 아이는 로봇</t>
  </si>
  <si>
    <t>한주형 글·그림</t>
  </si>
  <si>
    <t>JD0000024880</t>
  </si>
  <si>
    <t>오물오물 냠냠 맛있다!</t>
  </si>
  <si>
    <t>마이클 달;오리올 비달;초록색연필</t>
  </si>
  <si>
    <t>JD0000024881</t>
  </si>
  <si>
    <t>오줌싸개 왕자</t>
  </si>
  <si>
    <t>귀뒬 글;클로드 K. 뒤부아 그림;천미나 옮김</t>
  </si>
  <si>
    <t>JD0000024882</t>
  </si>
  <si>
    <t>왕따 슈가 울던 날</t>
  </si>
  <si>
    <t>후쿠 아키코 글;후리야 가요코 그림;김정화 옮김</t>
  </si>
  <si>
    <t>JD0000024883</t>
  </si>
  <si>
    <t>왕의 보물 상자</t>
  </si>
  <si>
    <t>장 프랑수아 샤바스 지음;다비드 살라;조정훈</t>
  </si>
  <si>
    <t>JD0000024884</t>
  </si>
  <si>
    <t>외아들 구출 소동</t>
  </si>
  <si>
    <t>글: 송언;그림: 김병하</t>
  </si>
  <si>
    <t>봄봄출판사</t>
  </si>
  <si>
    <t>JD0000024885</t>
  </si>
  <si>
    <t>유치원에 가기 싫어!</t>
  </si>
  <si>
    <t>하세가와 요시후미 지음;이정민 옮김</t>
  </si>
  <si>
    <t>JD0000024886</t>
  </si>
  <si>
    <t>으랏차차! 씨름</t>
  </si>
  <si>
    <t>윤봉선 지음</t>
  </si>
  <si>
    <t>JD0000024887</t>
  </si>
  <si>
    <t>은표주박 하나 주워서</t>
  </si>
  <si>
    <t>임정자 지음;이광익 그림</t>
  </si>
  <si>
    <t>JD0000024888</t>
  </si>
  <si>
    <t>(읽으면 읽을수록 논술이 만만해지는) 한국단편 읽기. 1</t>
  </si>
  <si>
    <t>김정연 엮음;백명식 그림</t>
  </si>
  <si>
    <t>JD0000024889</t>
  </si>
  <si>
    <t>(읽으면 읽을수록 논술이 만만해지는) 한국단편 읽기. 2</t>
  </si>
  <si>
    <t>김정연 엮음;백명식;김홍 그림</t>
  </si>
  <si>
    <t>JD0000024890</t>
  </si>
  <si>
    <t>임진록 : 아동문학가 김은숙 선생님이 다시 쓴 우리 고전</t>
  </si>
  <si>
    <t>글: 김은숙</t>
  </si>
  <si>
    <t>영림카디널</t>
  </si>
  <si>
    <t>JD0000024891</t>
  </si>
  <si>
    <t>잊지 마, 살곳미로</t>
  </si>
  <si>
    <t>이병승 지음;이지선</t>
  </si>
  <si>
    <t>JD0000024892</t>
  </si>
  <si>
    <t>자전거</t>
  </si>
  <si>
    <t>박상률 글;이욱재 그림</t>
  </si>
  <si>
    <t>JD0000024893</t>
  </si>
  <si>
    <t>재판을 신청합니다</t>
  </si>
  <si>
    <t>이명랑 지음;이강훈 그림</t>
  </si>
  <si>
    <t>JD0000024894</t>
  </si>
  <si>
    <t>절대로 방울뱀을 흔들지 마!</t>
  </si>
  <si>
    <t>미카엘라 모건;닉 샤렛;글맛</t>
  </si>
  <si>
    <t>JD0000024895</t>
  </si>
  <si>
    <t>절친한 친구 급히 구함</t>
  </si>
  <si>
    <t>카트야 알베스 글;양은아 그림;유혜자 옮김</t>
  </si>
  <si>
    <t>JD0000024896</t>
  </si>
  <si>
    <t>(제로니모의) 환상모험. 16</t>
  </si>
  <si>
    <t>제로니모 스틸턴 글.그림;이승수 옮김</t>
  </si>
  <si>
    <t>JD0000024897</t>
  </si>
  <si>
    <t>지구는 내가 지킬 거야!</t>
  </si>
  <si>
    <t>존 버닝햄;이상희</t>
  </si>
  <si>
    <t>JD0000024898</t>
  </si>
  <si>
    <t>짐 크노프와 네포무크</t>
  </si>
  <si>
    <t>미하엘 엔데;F. J. 트립 원작;베아테 될링 엮음;마티아스 베버 그림;황문정 옮김</t>
  </si>
  <si>
    <t>토마토하우스</t>
  </si>
  <si>
    <t>JD0000024899</t>
  </si>
  <si>
    <t>짐 크노프와 사막의 거인</t>
  </si>
  <si>
    <t>JD0000024900</t>
  </si>
  <si>
    <t>(짧은 단어로 쉽게 배우는) 집이야기</t>
  </si>
  <si>
    <t>JD0000024901</t>
  </si>
  <si>
    <t>(크리스티네 뇌스틀링거의) 착한 너구리</t>
  </si>
  <si>
    <t>크리스티네 뇌스틀링거 글;홍성지 그림;유혜자 옮김</t>
  </si>
  <si>
    <t>JD0000024902</t>
  </si>
  <si>
    <t>착한 생각으로 세상을 바꾼 사람들</t>
  </si>
  <si>
    <t>글: 홍건국;그림: 김진희</t>
  </si>
  <si>
    <t>[글담어린이]</t>
  </si>
  <si>
    <t>JD0000024903</t>
  </si>
  <si>
    <t>창 밖을 보면 뭐가 보이니?</t>
  </si>
  <si>
    <t>베아트릭스 슈닙펜쾨터 지음;강혜경 옮김</t>
  </si>
  <si>
    <t>문학수첩 리틀북</t>
  </si>
  <si>
    <t>JD0000024904</t>
  </si>
  <si>
    <t>천사 안젤라 : 유럽 전래 동화</t>
  </si>
  <si>
    <t>이루리;송은실</t>
  </si>
  <si>
    <t>JD0000024905</t>
  </si>
  <si>
    <t>체리 코 할아버지의 선택</t>
  </si>
  <si>
    <t>정임조 지음;신은재</t>
  </si>
  <si>
    <t>JD0000024906</t>
  </si>
  <si>
    <t>커다란 알 하나</t>
  </si>
  <si>
    <t>최숙희 글 그림</t>
  </si>
  <si>
    <t>JD0000024907</t>
  </si>
  <si>
    <t>투투와 공룡올림픽</t>
  </si>
  <si>
    <t>데이비드 베드포드 글;당커르루 그림;최용은 옮김</t>
  </si>
  <si>
    <t>JD0000024908</t>
  </si>
  <si>
    <t>티마와 마티</t>
  </si>
  <si>
    <t>요코코코;최용은</t>
  </si>
  <si>
    <t>JD0000024909</t>
  </si>
  <si>
    <t>포티, 기저귀는 이제 그만</t>
  </si>
  <si>
    <t>JD0000024910</t>
  </si>
  <si>
    <t>폭풍소녀 가출기</t>
  </si>
  <si>
    <t>최미경 지음;그림: 이승연</t>
  </si>
  <si>
    <t>JD0000024911</t>
  </si>
  <si>
    <t>풍경을 잘 그리는 모네 아저씨</t>
  </si>
  <si>
    <t>JD0000024912</t>
  </si>
  <si>
    <t>플랜더스의 넬로</t>
  </si>
  <si>
    <t>지은이: 이미애;그린이: 신소영</t>
  </si>
  <si>
    <t>아시아코치센터</t>
  </si>
  <si>
    <t>JD0000024913</t>
  </si>
  <si>
    <t>피노키오와 매직볼</t>
  </si>
  <si>
    <t>김경란 지음;그린이: 금동이책</t>
  </si>
  <si>
    <t>JD0000024914</t>
  </si>
  <si>
    <t>하늘에 뜬 예쁜 빛깔을 봤니?</t>
  </si>
  <si>
    <t>글·그림: 다이앤 푸트;옮김: 글맛</t>
  </si>
  <si>
    <t>JD0000024915</t>
  </si>
  <si>
    <t>한 사람 부족해!</t>
  </si>
  <si>
    <t>이마무라 아시코 글;고현아 그림;정은지 옮김</t>
  </si>
  <si>
    <t>산수야</t>
  </si>
  <si>
    <t>JD0000024916</t>
  </si>
  <si>
    <t>할머니의 강 = Grandma's River</t>
  </si>
  <si>
    <t>서분숙;이지은</t>
  </si>
  <si>
    <t>나한기획</t>
  </si>
  <si>
    <t>JD0000024917</t>
  </si>
  <si>
    <t>할아버지를 위한 풍선</t>
  </si>
  <si>
    <t>나이젤 그레이 지음;제인 레이 그림;최제니 옮김</t>
  </si>
  <si>
    <t>JD0000024918</t>
  </si>
  <si>
    <t>행복을 파는 동물원</t>
  </si>
  <si>
    <t>야마다 유카 글;송선범 그림;고향옥 옮김</t>
  </si>
  <si>
    <t>JD0000024919</t>
  </si>
  <si>
    <t>헛다리와 불통이</t>
  </si>
  <si>
    <t>박신식 글;박연옥 그림</t>
  </si>
  <si>
    <t>JD0000024920</t>
  </si>
  <si>
    <t>형, 나를 지켜 줘!</t>
  </si>
  <si>
    <t>박현숙 글;김미현 그림</t>
  </si>
  <si>
    <t>JD0000024921</t>
  </si>
  <si>
    <t>호랑이 눈썹</t>
  </si>
  <si>
    <t>이반디 글;서현 그림</t>
  </si>
  <si>
    <t>JD0000024922</t>
  </si>
  <si>
    <t>황금 사과를 딴 소녀</t>
  </si>
  <si>
    <t>김지예;차인우 [공]글;성은혜지 그림</t>
  </si>
  <si>
    <t>해솔</t>
  </si>
  <si>
    <t>JD0000024923</t>
  </si>
  <si>
    <t>희망 심으러 가요</t>
  </si>
  <si>
    <t>지은이: 에스코페카 티티넨;그린이: 니콜라이 티티넨;옮긴이: 김이연</t>
  </si>
  <si>
    <t>JD0000024924</t>
  </si>
  <si>
    <t>나는 여성 독립운동가입니다</t>
  </si>
  <si>
    <t>김일옥 지음;백금림</t>
  </si>
  <si>
    <t>JD0000024925</t>
  </si>
  <si>
    <t>(나무 심는 사람) 임종국</t>
  </si>
  <si>
    <t>김현은 지음;그림: 김민철</t>
  </si>
  <si>
    <t>JD0000024926</t>
  </si>
  <si>
    <t>나무는 숲을 기억해요</t>
  </si>
  <si>
    <t>로시오 마르티네스 글·그림;김정하 옮김</t>
  </si>
  <si>
    <t>JD0000024927</t>
  </si>
  <si>
    <t>남대문의 봄 : 숭례문 600년 이야기</t>
  </si>
  <si>
    <t>이현숙 글;유기훈 그림</t>
  </si>
  <si>
    <t>JD0000024928</t>
  </si>
  <si>
    <t>몽골군에 맞서 대장경판을 지켜라!</t>
  </si>
  <si>
    <t>햇살과나무꾼 글;이상규 그림</t>
  </si>
  <si>
    <t>JD0000024929</t>
  </si>
  <si>
    <t>(역사가 열리는) 문화재 나무 : 교과서 개념 잡는 20가지 문화재 이야기</t>
  </si>
  <si>
    <t>글: 정민지;그림: 김민승</t>
  </si>
  <si>
    <t>지학사</t>
  </si>
  <si>
    <t>JD0000024930</t>
  </si>
  <si>
    <t>JD0000024931</t>
  </si>
  <si>
    <t>(재미있는) 우리 문화유산 이야기</t>
  </si>
  <si>
    <t>송미화;문수민;이창우</t>
  </si>
  <si>
    <t>JD0000024932</t>
  </si>
  <si>
    <t>(정조와 함께 가는 8일간의) 화성 행차</t>
  </si>
  <si>
    <t>글: 황은주;그림: 강윤정</t>
  </si>
  <si>
    <t>JD0000024933</t>
  </si>
  <si>
    <t>(제인 구달의) 내가 사랑한 침팬지 : 어린이를 위한 제인 구달 자서전</t>
  </si>
  <si>
    <t>제인 구달 지음;햇살과나무꾼 옮김</t>
  </si>
  <si>
    <t>JD0000024934</t>
  </si>
  <si>
    <t>체 게바라 : 불가능을 꿈꾼 혁명가</t>
  </si>
  <si>
    <t>오도엽 글;이상규 그림</t>
  </si>
  <si>
    <t>JD0000024935</t>
  </si>
  <si>
    <t>칼날 눈썹 박제가 : 수레와 벽돌로 새로운 조선을 꿈꾸다</t>
  </si>
  <si>
    <t>글: 설흔;그림: 조승연</t>
  </si>
  <si>
    <t>JD0000024936</t>
  </si>
  <si>
    <t>꾸뻬 씨의 행복 여행</t>
  </si>
  <si>
    <t>프랑수아 를로르 지음;오유란 옮김</t>
  </si>
  <si>
    <t>오래된미래</t>
  </si>
  <si>
    <t>JD0000024937</t>
  </si>
  <si>
    <t>달에게 들려주고 싶은 이야기 : 신경숙 짧은 소설</t>
  </si>
  <si>
    <t>지은이: 신경숙</t>
  </si>
  <si>
    <t>JD0000024938</t>
  </si>
  <si>
    <t>샐러드를 좋아하는 사자 : 세번째 무라카미 라디오</t>
  </si>
  <si>
    <t>무라카미 하루키 지음;오하시 아유미 그림;권남희 옮김</t>
  </si>
  <si>
    <t>JD0000024939</t>
  </si>
  <si>
    <t>나는 천국을 보았다</t>
  </si>
  <si>
    <t>이븐 알렉산더 지음;고미라 옮김</t>
  </si>
  <si>
    <t>JD0000024940</t>
  </si>
  <si>
    <t>마법의 순간</t>
  </si>
  <si>
    <t>파울로 코엘료 지음;황중환;김미나 옮김</t>
  </si>
  <si>
    <t>JD0000024941</t>
  </si>
  <si>
    <t>JD0000024942</t>
  </si>
  <si>
    <t>나미야 잡화점의 기적 : 히가시노 게이고 장편소설</t>
  </si>
  <si>
    <t>JD0000024943</t>
  </si>
  <si>
    <t>최고의 공부</t>
  </si>
  <si>
    <t>글: 켄 베인;옮긴이: 이영하</t>
  </si>
  <si>
    <t>JD0000024944</t>
  </si>
  <si>
    <t>적을 만들지 않는 대화법 : 사람을 얻는 마법의 대화 기술 56</t>
  </si>
  <si>
    <t>샘 혼 지음;이상원 옮김</t>
  </si>
  <si>
    <t>JD0000024945</t>
  </si>
  <si>
    <t>내 얘기를 들어줄 단 한 사람이 있다면 : 뚜벅이 변호사 조우성이 전하는 뜨겁고 가슴 저린 인생 드라마</t>
  </si>
  <si>
    <t>조우성 지음</t>
  </si>
  <si>
    <t>JD0000024946</t>
  </si>
  <si>
    <t>하워드의 선물 : 인생의 전환점에서 만난 필생의 가르침 = Howard's gift</t>
  </si>
  <si>
    <t>에릭 시노웨이;메릴 미도우 지음;김명철;유지연 옮김</t>
  </si>
  <si>
    <t>JD0000024947</t>
  </si>
  <si>
    <t>소금 : 박범신 장편소설</t>
  </si>
  <si>
    <t>한겨레</t>
  </si>
  <si>
    <t>JD0000024948</t>
  </si>
  <si>
    <t>스마트한 선택들 : 후회 없는 결정을 하기 위해 꼭 알아야 할 52가지 심리 법칙</t>
  </si>
  <si>
    <t>롤프 도벨리 지음</t>
  </si>
  <si>
    <t>걷는나무</t>
  </si>
  <si>
    <t>JD0000024949</t>
  </si>
  <si>
    <t>나를 아프게 하는 것이 나를 강하게 만든다</t>
  </si>
  <si>
    <t>알렉상드르 졸리앙 지음;성귀수</t>
  </si>
  <si>
    <t>책읽는수요일(한국물가정보)</t>
  </si>
  <si>
    <t>JD0000024950</t>
  </si>
  <si>
    <t>희망의 귀환 : 희망을 부르면 희망은 내게 온다</t>
  </si>
  <si>
    <t>차동엽 지음</t>
  </si>
  <si>
    <t>위즈앤비즈</t>
  </si>
  <si>
    <t>JD0000024951</t>
  </si>
  <si>
    <t>어떻게 살 것인가</t>
  </si>
  <si>
    <t>유시민 지음</t>
  </si>
  <si>
    <t>아포리아(아름다운사람들)</t>
  </si>
  <si>
    <t>JD0000024952</t>
  </si>
  <si>
    <t>도르와 함께한 인생여행</t>
  </si>
  <si>
    <t>미치 앨봄 지음;윤정숙 옮김</t>
  </si>
  <si>
    <t>JD0000024953</t>
  </si>
  <si>
    <t>나를 찾아줘 : 길리언 플린 장편소설</t>
  </si>
  <si>
    <t>길리언 플린 지음;강선재 옮김</t>
  </si>
  <si>
    <t>JD0000024954</t>
  </si>
  <si>
    <t>청춘, 거침 없이 달려라 : 꿈과 스토리로 스펙을 이긴 아주 특별한 이야기</t>
  </si>
  <si>
    <t>강남구 지음</t>
  </si>
  <si>
    <t>국일미디어</t>
  </si>
  <si>
    <t>JD0000024955</t>
  </si>
  <si>
    <t>새로운 디지털 시대</t>
  </si>
  <si>
    <t>에릭 슈미트;제러드 코언 지음;이진원 옮김</t>
  </si>
  <si>
    <t>JD0000024956</t>
  </si>
  <si>
    <t>기획의 정석 : 무에서 유를 만드는 10가지 빡신 기획 습관</t>
  </si>
  <si>
    <t>박신영 지음</t>
  </si>
  <si>
    <t>JD0000024957</t>
  </si>
  <si>
    <t>나는 오늘도 나를 응원한다 : 평생 흔들리지 않을 자신감 회복 프로젝트</t>
  </si>
  <si>
    <t>마리사 피어 지음;이수경 옮김</t>
  </si>
  <si>
    <t>JD0000024958</t>
  </si>
  <si>
    <t>나는 다만 조금 느릴 뿐이다</t>
  </si>
  <si>
    <t>강세형 지음</t>
  </si>
  <si>
    <t>JD0000024959</t>
  </si>
  <si>
    <t>어제까지의 세계 : 전통사회에서 우리는 무엇을 배울 수 있는가?</t>
  </si>
  <si>
    <t>지은이: 재레드 다이아몬드;옮긴이: 강주헌</t>
  </si>
  <si>
    <t>JD0000024960</t>
  </si>
  <si>
    <t>천 번을 흔들려야 어른이 된다 : 세상에 첫발을 내디딘 어른아이에게</t>
  </si>
  <si>
    <t>김난도 지음</t>
  </si>
  <si>
    <t>오우아</t>
  </si>
  <si>
    <t>JD0000024961</t>
  </si>
  <si>
    <t>지금 시작하는 인문학</t>
  </si>
  <si>
    <t>주현성 지음</t>
  </si>
  <si>
    <t>더좋은책</t>
  </si>
  <si>
    <t>JD0000024962</t>
  </si>
  <si>
    <t>습관의 힘</t>
  </si>
  <si>
    <t>찰스 두히그 지음;강주헌 옮김</t>
  </si>
  <si>
    <t>JD0000024963</t>
  </si>
  <si>
    <t>당신은 전략가입니까</t>
  </si>
  <si>
    <t>신시아 A. 몽고메리 지음;이현주 옮김</t>
  </si>
  <si>
    <t>JD0000024964</t>
  </si>
  <si>
    <t>(손빈희의) 공부가 쉬워지는 동화</t>
  </si>
  <si>
    <t>손빈희 지음;한경아 엮음;하정아 그림</t>
  </si>
  <si>
    <t>리틀미다스</t>
  </si>
  <si>
    <t>JD0000024965</t>
  </si>
  <si>
    <t>심리학 나좀 구해줘 : 원하는 것을 얻기 위해 꼭 알아야 할 51가지 심리 법칙</t>
  </si>
  <si>
    <t>폴커 키츠;마누엘 투쉬 지음;김희상 옮김</t>
  </si>
  <si>
    <t>JD0000024966</t>
  </si>
  <si>
    <t>죽음이란 무엇인가</t>
  </si>
  <si>
    <t>셸리 케이건 지음;박세연 옮김</t>
  </si>
  <si>
    <t>JD0000024967</t>
  </si>
  <si>
    <t>베끼려면 제대로 베껴라 : 원본을 뒤집는 참신한 모방의 경영학</t>
  </si>
  <si>
    <t>이노우에 다쓰히코 지음;김준균 옮김</t>
  </si>
  <si>
    <t>Seedpaper</t>
  </si>
  <si>
    <t>JD0000024968</t>
  </si>
  <si>
    <t>요코야마 히데오 지음;최고은 옮김</t>
  </si>
  <si>
    <t>JD0000024969</t>
  </si>
  <si>
    <t>바람이 분다 당신이 좋다 : 이병률 여행산문집</t>
  </si>
  <si>
    <t>이병률 지음</t>
  </si>
  <si>
    <t>달</t>
  </si>
  <si>
    <t>JD0000024970</t>
  </si>
  <si>
    <t>고령화 가족 : 천명관 장편소설</t>
  </si>
  <si>
    <t>천명관 지음</t>
  </si>
  <si>
    <t>JD0000024971</t>
  </si>
  <si>
    <t>(내 편이 아니라도) 적을 만들지 마라</t>
  </si>
  <si>
    <t>스샤오옌 지음;양성희 옮김</t>
  </si>
  <si>
    <t>다연출판사</t>
  </si>
  <si>
    <t>JD0000024972</t>
  </si>
  <si>
    <t>강신주의 맨얼굴의 철학 당당한 인문학 : 지승호가 묻고 강신주가 답하다</t>
  </si>
  <si>
    <t>강신주 지음;지승호</t>
  </si>
  <si>
    <t>JD0000024973</t>
  </si>
  <si>
    <t>아프니까 청춘이다</t>
  </si>
  <si>
    <t>김난도 저</t>
  </si>
  <si>
    <t>(주)쌤앤파커스</t>
  </si>
  <si>
    <t>JD0000024974</t>
  </si>
  <si>
    <t>뜨거워야 움직이고 미쳐야 내 것이 된다 : 10년 후 후회하지 않는 인생 = No regret life :</t>
  </si>
  <si>
    <t>지은이: 김병완</t>
  </si>
  <si>
    <t>서래</t>
  </si>
  <si>
    <t>JD0000024975</t>
  </si>
  <si>
    <t>돈보다 운을 벌어라 : 주역의 원리로 운을 경영하는 법</t>
  </si>
  <si>
    <t>김승호 지음</t>
  </si>
  <si>
    <t>JD0000024976</t>
  </si>
  <si>
    <t>장사의 시대 : 마케팅 원론에는 없는 세일즈의 모든 것 = Art of the sale</t>
  </si>
  <si>
    <t>필립 델브스 브러턴 지음;문희경 옮김</t>
  </si>
  <si>
    <t>JD0000024977</t>
  </si>
  <si>
    <t>(소아정신과 의사 서천석의) 아이와 함께 자라는 부모</t>
  </si>
  <si>
    <t>서천석 지음</t>
  </si>
  <si>
    <t>JD0000024978</t>
  </si>
  <si>
    <t>그때 알았더라면 좋았을 것들 : 가슴속에 품어야 할 청춘의 키워드 20</t>
  </si>
  <si>
    <t>정여울 지음</t>
  </si>
  <si>
    <t>JD0000024979</t>
  </si>
  <si>
    <t>팔지 마라 사게 하라 : 기획에서 콘셉트, 마케팅에서 세일즈까지</t>
  </si>
  <si>
    <t>지은이: 장문정</t>
  </si>
  <si>
    <t>JD0000024980</t>
  </si>
  <si>
    <t>장옥정 사랑에 살다 : 최정미 장편소설</t>
  </si>
  <si>
    <t>최정미 지음</t>
  </si>
  <si>
    <t>끌레마</t>
  </si>
  <si>
    <t>JD0000024981</t>
  </si>
  <si>
    <t>(행복의 열쇠가 숨어 있는) 우리말의 비밀</t>
  </si>
  <si>
    <t>이승헌 지음</t>
  </si>
  <si>
    <t>한문화 멀티미디어</t>
  </si>
  <si>
    <t>JD0000024982</t>
  </si>
  <si>
    <t>하고 싶다, 연애 : 놀아도 보고 아파도 본 선영 언니의 개념연애</t>
  </si>
  <si>
    <t>안선영 지음</t>
  </si>
  <si>
    <t>JD0000024983</t>
  </si>
  <si>
    <t>왜 책을 읽는가 : 세상에서 가장 이기적인 도서를 위하여</t>
  </si>
  <si>
    <t>샤를 단치 지음;임명주 옮김</t>
  </si>
  <si>
    <t>이루(지형)</t>
  </si>
  <si>
    <t>JD0000024984</t>
  </si>
  <si>
    <t>생각이 너무 많은 여자</t>
  </si>
  <si>
    <t>수잔 놀렌-혹스마 지음;나선숙 옮김</t>
  </si>
  <si>
    <t>지식너머(지식채널)</t>
  </si>
  <si>
    <t>JD0000024985</t>
  </si>
  <si>
    <t>할 : 최인호 장편소설</t>
  </si>
  <si>
    <t>최인호 지음</t>
  </si>
  <si>
    <t>JD0000024986</t>
  </si>
  <si>
    <t>나는 공짜로 공부한다 : 우리가 교육에 대해 꿈꿨던 모든 것</t>
  </si>
  <si>
    <t>살만 칸 지음;김희경;김현경</t>
  </si>
  <si>
    <t>JD0000024987</t>
  </si>
  <si>
    <t>두 명만 모여도 꼭 나오는 경제 질문 : 선대인연구소가 대한민국 오천만에게 답하다</t>
  </si>
  <si>
    <t>선대인경제연구소 지음</t>
  </si>
  <si>
    <t>JD0000024988</t>
  </si>
  <si>
    <t>학교의 눈물</t>
  </si>
  <si>
    <t>SBS스페셜 제작팀 지음</t>
  </si>
  <si>
    <t>JD0000024989</t>
  </si>
  <si>
    <t>나는 내일을 기다리지 않는다 : 잠자는 열정을 깨우는 강수진의 인생수업</t>
  </si>
  <si>
    <t>강수진 지음</t>
  </si>
  <si>
    <t>인플루엔셜</t>
  </si>
  <si>
    <t>JD0000024990</t>
  </si>
  <si>
    <t>삶은 속도가 아니라 방향이다 = Life is not a speed but a direction</t>
  </si>
  <si>
    <t>수영;전성민</t>
  </si>
  <si>
    <t>루이앤휴잇</t>
  </si>
  <si>
    <t>JD0000024991</t>
  </si>
  <si>
    <t>영혼이 강한 아이로 키워라 : 대한민국 엄마 멘토, 조선미 박사의 열린 부모특강</t>
  </si>
  <si>
    <t>조선미 지음</t>
  </si>
  <si>
    <t>JD0000024992</t>
  </si>
  <si>
    <t>프랑스 아이처럼 : 아이, 엄마, 가족이 모두 행복한 프랑스식 육아</t>
  </si>
  <si>
    <t>파멜라 드러커맨 지음;이주혜 옮김</t>
  </si>
  <si>
    <t>북하이브</t>
  </si>
  <si>
    <t>JD0000024993</t>
  </si>
  <si>
    <t>아이의 공부두뇌 = Child's learning brain</t>
  </si>
  <si>
    <t>김영훈 지음</t>
  </si>
  <si>
    <t>JD0000024994</t>
  </si>
  <si>
    <t>한국의 100억 부자들 : 자수성가형 부자 100인이 공개하는 대한민국 신흥 부자의 모든 것</t>
  </si>
  <si>
    <t>조진섭 지음</t>
  </si>
  <si>
    <t>JD0000024995</t>
  </si>
  <si>
    <t>두뇌성격이 아이 인생을 결정한다</t>
  </si>
  <si>
    <t>JD0000024996</t>
  </si>
  <si>
    <t>꾸뻬 씨의 인생 여행</t>
  </si>
  <si>
    <t>프랑수아 를로르 지음;강미란 옮김</t>
  </si>
  <si>
    <t>열림원</t>
  </si>
  <si>
    <t>JD0000024997</t>
  </si>
  <si>
    <t>나는 아직, 어른이 되려면 멀었다</t>
  </si>
  <si>
    <t>JD0000024998</t>
  </si>
  <si>
    <t>JD0000024999</t>
  </si>
  <si>
    <t>끌림 : travel notes</t>
  </si>
  <si>
    <t>JD0000025000</t>
  </si>
  <si>
    <t>그들은 왜 회사의 주인이 되었나 : 세계 10억 인구의 삶을 바꾼 공생의 대안경제 시스템</t>
  </si>
  <si>
    <t>마조리 켈리 지음;제현주 옮김</t>
  </si>
  <si>
    <t>북돋움</t>
  </si>
  <si>
    <t>JD0000025001</t>
  </si>
  <si>
    <t>JD0000025002</t>
  </si>
  <si>
    <t>JD0000025003</t>
  </si>
  <si>
    <t>숲에는 갈등이 없다 : 나무에 얽힌 재미있는 이야기</t>
  </si>
  <si>
    <t>이우상 지음</t>
  </si>
  <si>
    <t>아름다운 인연</t>
  </si>
  <si>
    <t>JD0000025004</t>
  </si>
  <si>
    <t>바람을 뿌리는 자 : 넬레 노이하우스 장편소설</t>
  </si>
  <si>
    <t>넬레 노이하우스 지음;김진아 옮김</t>
  </si>
  <si>
    <t>JD0000025005</t>
  </si>
  <si>
    <t>깊은 상처 : 넬레 노이하우스 장편소설</t>
  </si>
  <si>
    <t>북로드</t>
  </si>
  <si>
    <t>JD0000025006</t>
  </si>
  <si>
    <t>사랑받지 못한 여자 : 넬레 노이하우스 장편소설</t>
  </si>
  <si>
    <t>JD0000025007</t>
  </si>
  <si>
    <t>만화판례헌법. 1, 헌법과 정치제도</t>
  </si>
  <si>
    <t>성낙인 지음;이영욱 그림</t>
  </si>
  <si>
    <t>법률저널</t>
  </si>
  <si>
    <t>JD0000025008</t>
  </si>
  <si>
    <t>만화판례헌법. 2, 헌법과 기본권</t>
  </si>
  <si>
    <t>JD0000025009</t>
  </si>
  <si>
    <t>가시고백</t>
  </si>
  <si>
    <t>김려령 지음</t>
  </si>
  <si>
    <t>JD0000025010</t>
  </si>
  <si>
    <t>다산의 사랑 : 정찬주 장편소설</t>
  </si>
  <si>
    <t>지은이: 정찬주</t>
  </si>
  <si>
    <t>봄아필</t>
  </si>
  <si>
    <t>JD0000025011</t>
  </si>
  <si>
    <t>남해는 잠들지 않는다 : 임종욱 장편소설</t>
  </si>
  <si>
    <t>임종욱 지음</t>
  </si>
  <si>
    <t>북인</t>
  </si>
  <si>
    <t>JD0000025012</t>
  </si>
  <si>
    <t>검정고무신. 13, 찐드기 거지</t>
  </si>
  <si>
    <t>도래미 글;이우영 그림</t>
  </si>
  <si>
    <t>JD0000025013</t>
  </si>
  <si>
    <t>검정고무신. 14, 찐드기 거지</t>
  </si>
  <si>
    <t>JD0000025014</t>
  </si>
  <si>
    <t>검정고무신. 15, 찐드기 거지</t>
  </si>
  <si>
    <t>JD0000025015</t>
  </si>
  <si>
    <t>(만화로 보는)그리스 로마 신화. 1, 올림포스의 신들</t>
  </si>
  <si>
    <t>토머스 불핀치 지음;이광진 엮음;서영 그림</t>
  </si>
  <si>
    <t>JD0000025016</t>
  </si>
  <si>
    <t>(만화로 보는)그리스 로마 신화. 2, 사랑과 질투</t>
  </si>
  <si>
    <t>JD0000025017</t>
  </si>
  <si>
    <t>(만화로 보는)그리스 로마 신화. 3, 신과 요정과 인간</t>
  </si>
  <si>
    <t>JD0000025018</t>
  </si>
  <si>
    <t>(만화로 보는)그리스 로마 신화. 4, 페르세우스와 메두사</t>
  </si>
  <si>
    <t>JD0000025019</t>
  </si>
  <si>
    <t>(만화로 보는)그리스 로마 신화. 5, 이아손과 메데이아</t>
  </si>
  <si>
    <t>토머스 불핀치 지음;이광진 엮음;홍은영 그림</t>
  </si>
  <si>
    <t>JD0000025020</t>
  </si>
  <si>
    <t>(만화로 보는)그리스 로마 신화. 6, 영웅 헤라클레스</t>
  </si>
  <si>
    <t>JD0000025021</t>
  </si>
  <si>
    <t>(만화로 보는)그리스 로마 신화. 7, 행운과 비극</t>
  </si>
  <si>
    <t>JD0000025022</t>
  </si>
  <si>
    <t>(만화로 보는)그리스 로마 신화. 8, 오르페우스의 사랑</t>
  </si>
  <si>
    <t>토머스 불핀치 지음;서영 그림;이광진 엮음</t>
  </si>
  <si>
    <t>JD0000025023</t>
  </si>
  <si>
    <t>(만화로 보는)그리스 로마 신화. 9, 가장 아름다운 여신</t>
  </si>
  <si>
    <t>JD0000025024</t>
  </si>
  <si>
    <t>(만화로 보는)그리스 로마 신화. 10, 트로이, 트로이로!</t>
  </si>
  <si>
    <t>JD0000025025</t>
  </si>
  <si>
    <t>(만화로 보는)그리스 로마 신화. 11, 운명의 대결</t>
  </si>
  <si>
    <t>JD0000025026</t>
  </si>
  <si>
    <t>(만화로 보는)그리스 로마 신화. 12, 신들의 싸움</t>
  </si>
  <si>
    <t>JD0000025027</t>
  </si>
  <si>
    <t>(만화로 보는)그리스 로마 신화. 13, 슬픈 운명</t>
  </si>
  <si>
    <t>JD0000025028</t>
  </si>
  <si>
    <t>(만화로 보는)그리스 로마 신화. 14, 트로이의 목마</t>
  </si>
  <si>
    <t>JD0000025029</t>
  </si>
  <si>
    <t>(만화로 보는)그리스 로마 신화. 15, 오디세우스의 출항</t>
  </si>
  <si>
    <t>JD0000025030</t>
  </si>
  <si>
    <t>(만화로 보는)그리스 로마 신화. 16, 마법사 여신 키르케</t>
  </si>
  <si>
    <t>JD0000025031</t>
  </si>
  <si>
    <t>(만화로 보는)그리스 로마 신화. 17, 칼립소 여신과 구혼자들</t>
  </si>
  <si>
    <t>JD0000025032</t>
  </si>
  <si>
    <t>(만화로 보는)그리스 로마 신화. 18, 오, 이타케, 이타케!</t>
  </si>
  <si>
    <t>JD0000025033</t>
  </si>
  <si>
    <t>(만화로 보는)그리스 로마 신화. 19, 오디세우스의 복수</t>
  </si>
  <si>
    <t>JD0000025034</t>
  </si>
  <si>
    <t>(만화로 보는)그리스 로마 신화. 20, 아이네이아스와 로마</t>
  </si>
  <si>
    <t>JD0000025035</t>
  </si>
  <si>
    <t>(뿌까의) 신나는 세계모험. 3, 아시아 인도.네팔편</t>
  </si>
  <si>
    <t>김철희 글;Vooz 그림</t>
  </si>
  <si>
    <t>JD0000025036</t>
  </si>
  <si>
    <t>(뿌까의) 신나는 세계모험. 4, 아시아 네팔 일본</t>
  </si>
  <si>
    <t>JD0000025037</t>
  </si>
  <si>
    <t>(뿌까의) 신나는 세계모험. 5, 유럽 프랑스편</t>
  </si>
  <si>
    <t>김철희 글;VOOZ 그림</t>
  </si>
  <si>
    <t>JD0000025038</t>
  </si>
  <si>
    <t>(뿌까의) 신나는 세계모험. 6, 유럽 이탈리아 편</t>
  </si>
  <si>
    <t>JD0000025039</t>
  </si>
  <si>
    <t>(뿌까의) 신나는 세계모험. 7, 유럽 독일편</t>
  </si>
  <si>
    <t>JD0000025040</t>
  </si>
  <si>
    <t>(뿌까의) 신나는 세계모험. 8, &lt;유럽&gt; 영국편</t>
  </si>
  <si>
    <t>북스</t>
  </si>
  <si>
    <t>JD0000025041</t>
  </si>
  <si>
    <t>(뿌까의) 신나는 세계모험. 9, 유럽-스페인편</t>
  </si>
  <si>
    <t>JD0000025042</t>
  </si>
  <si>
    <t>(뿌까의) 신나는 세계모험. 10, &lt;유럽&gt; 러시아편</t>
  </si>
  <si>
    <t>JD0000025043</t>
  </si>
  <si>
    <t>(뿌까의) 신나는 세계모험. 11, &lt;북아메리카&gt; 미국편</t>
  </si>
  <si>
    <t>JD0000025044</t>
  </si>
  <si>
    <t>(뿌까의) 신나는 세계모험. 12, &lt;북아메리카&gt; 미국, 캐나다편</t>
  </si>
  <si>
    <t>손창현 글;Vooz 그림</t>
  </si>
  <si>
    <t>JD0000025045</t>
  </si>
  <si>
    <t>(뿌까의) 신나는 세계모험. 13, 남아메리카-멕시코, 페루편</t>
  </si>
  <si>
    <t>JD0000025046</t>
  </si>
  <si>
    <t>(뿌까의) 신나는 세계모험. 14, 남아메리카-브라질, 아르헨티나(잉카문명)편</t>
  </si>
  <si>
    <t>JD0000025047</t>
  </si>
  <si>
    <t>(뿌까의) 신나는 세계 모험. 16, (아프리카)남아공, 케냐, 모로코 편</t>
  </si>
  <si>
    <t>손창현 글;VOOZ 그림</t>
  </si>
  <si>
    <t>JD0000025048</t>
  </si>
  <si>
    <t>(뿌까의) 신나는 세계 모험. 17, (중동)이스라엘,이란편 편</t>
  </si>
  <si>
    <t>JD0000025049</t>
  </si>
  <si>
    <t>(뿌까의) 신나는 세계모험. 18, 오세아니아 호주.뉴질랜드 편</t>
  </si>
  <si>
    <t>손창현 [등] 글;VOOZ 그림</t>
  </si>
  <si>
    <t>JD0000025050</t>
  </si>
  <si>
    <t>(뿌까의) 무림열전. 1</t>
  </si>
  <si>
    <t>김현수 글;박찬섭 그림</t>
  </si>
  <si>
    <t>JD0000025051</t>
  </si>
  <si>
    <t>(뿌까의) 무림열전. 2</t>
  </si>
  <si>
    <t>김현수 글;도화지와 원고지 그림</t>
  </si>
  <si>
    <t>JD0000025052</t>
  </si>
  <si>
    <t>(뿌까의) 무림열전. 3</t>
  </si>
  <si>
    <t>JD0000025053</t>
  </si>
  <si>
    <t>마법천자문. 18, 찍어라 도장인</t>
  </si>
  <si>
    <t>시리얼 글 · 그림</t>
  </si>
  <si>
    <t>JD0000025054</t>
  </si>
  <si>
    <t>마법천자문. 19, 찍어라 도장인</t>
  </si>
  <si>
    <t>JD0000025055</t>
  </si>
  <si>
    <t>마법천자문. 20, 내 모든걸 너에게 남길 유</t>
  </si>
  <si>
    <t>김현수 지음</t>
  </si>
  <si>
    <t>JD0000025056</t>
  </si>
  <si>
    <t>마법천자문. 21, 하나가 되는 마음! 마음 심</t>
  </si>
  <si>
    <t>김현수 지음;홍거북  그림</t>
  </si>
  <si>
    <t>JD0000025057</t>
  </si>
  <si>
    <t>마법천자문. 22, 한계를 뛰어넘어라! 뛰어넘을 초</t>
  </si>
  <si>
    <t>올댓스토리 글</t>
  </si>
  <si>
    <t>JD0000025058</t>
  </si>
  <si>
    <t>마법천자문. 23, 꼭꼭 숨겨라! 숨길 비</t>
  </si>
  <si>
    <t>올댓스토리 글;홍거북 그림</t>
  </si>
  <si>
    <t>JD0000025059</t>
  </si>
  <si>
    <t>마법천자문. 24, 구석구석 찾아라! 찾을 방</t>
  </si>
  <si>
    <t>JD0000025060</t>
  </si>
  <si>
    <t>마법천자문. 25, 빈틈없이 막아라! 방패 순</t>
  </si>
  <si>
    <t>올댓스토리</t>
  </si>
  <si>
    <t>JD0000025061</t>
  </si>
  <si>
    <t>(마법천자문) 사회원정대. 8</t>
  </si>
  <si>
    <t>김재성 지음</t>
  </si>
  <si>
    <t>JD0000025062</t>
  </si>
  <si>
    <t>(마법천자문) 사회원정대. 9, 정보화</t>
  </si>
  <si>
    <t>김성재 지음;도나팡팡 그림</t>
  </si>
  <si>
    <t>JD0000025063</t>
  </si>
  <si>
    <t>(코믹 메이플스토리) 수학도둑. 21</t>
  </si>
  <si>
    <t>송도수 글;서정은 그림</t>
  </si>
  <si>
    <t>JD0000025064</t>
  </si>
  <si>
    <t>(코믹 메이플스토리) 수학도둑. 22</t>
  </si>
  <si>
    <t>JD0000025065</t>
  </si>
  <si>
    <t>(코믹 메이플스토리) 수학도둑. 23</t>
  </si>
  <si>
    <t>JD0000025066</t>
  </si>
  <si>
    <t>(코믹 메이플스토리) 수학도둑. 24</t>
  </si>
  <si>
    <t>JD0000025067</t>
  </si>
  <si>
    <t>(코믹 메이플스토리) 수학도둑. 25</t>
  </si>
  <si>
    <t>JD0000025068</t>
  </si>
  <si>
    <t>(코믹 메이플스토리) 수학도둑 : 사고력과 이해력을 향상시켜 주는 국내 최초 수학논술만화. 26</t>
  </si>
  <si>
    <t>송도수  글;서정은 그림</t>
  </si>
  <si>
    <t>JD0000025069</t>
  </si>
  <si>
    <t>(코믹 메이플스토리) 수학도둑 : 사고력과 이해력을 향상시켜 주는 국내 최초 수학논술만화. 27</t>
  </si>
  <si>
    <t>송도수;서정은</t>
  </si>
  <si>
    <t>JD0000025070</t>
  </si>
  <si>
    <t>(코믹 메이플스토리) 수학도둑 : 사고력과 이해력을 향상시켜 주는 국내 최초 수학논술만화. 28</t>
  </si>
  <si>
    <t>JD0000025071</t>
  </si>
  <si>
    <t>(코믹 메이플스토리) 수학도둑 : 사고력과 이해력을 향상시켜 주는 국내 최초 수학논술만화. 29</t>
  </si>
  <si>
    <t>JD0000025072</t>
  </si>
  <si>
    <t>(코믹 메이플스토리) 수학도둑 : 사고력과 이해력을 향상시켜 주는 국내 최초 수학논술만화. 30</t>
  </si>
  <si>
    <t>JD0000025073</t>
  </si>
  <si>
    <t>(코믹 메이플스토리) 수학도둑 : 사고력과 이해력을 향상시켜 주는 국내 최초 수학논술만화. 31</t>
  </si>
  <si>
    <t>송도수;서정은 그림</t>
  </si>
  <si>
    <t>JD0000025074</t>
  </si>
  <si>
    <t>(코믹 메이플스토리) 수학도둑 : 사고력과 이해력을 향상시켜 주는 국내 최초 수학논술만화. 32</t>
  </si>
  <si>
    <t>송도수</t>
  </si>
  <si>
    <t>JD0000025075</t>
  </si>
  <si>
    <t>(코믹 메이플스토리) 수학도둑 : 문제해결력, 추론 능력, 의사소통 능력 강화!!. 33</t>
  </si>
  <si>
    <t>글·그림 송도수</t>
  </si>
  <si>
    <t>JD0000025076</t>
  </si>
  <si>
    <t>(테일즈런너) 수학 킹왕짱!. 25, 최강 난이도 방정식 맵</t>
  </si>
  <si>
    <t>JD0000025077</t>
  </si>
  <si>
    <t>(테일즈런너) 수학 킹왕짱!. 26, 최강 난이도 방정식 맵</t>
  </si>
  <si>
    <t>JD0000025078</t>
  </si>
  <si>
    <t>원동력 : 자녀교육과 글로벌리더십</t>
  </si>
  <si>
    <t>강영우 지음</t>
  </si>
  <si>
    <t>JD0000025079</t>
  </si>
  <si>
    <t>대영반 : 위상 신무협 장편소설. 1</t>
  </si>
  <si>
    <t>위상 지음</t>
  </si>
  <si>
    <t>파피루스(디앤씨미디어)</t>
  </si>
  <si>
    <t>JD0000025080</t>
  </si>
  <si>
    <t>대영반 : 위상 신무협 장편소설. 2</t>
  </si>
  <si>
    <t>JD0000025081</t>
  </si>
  <si>
    <t>대영반 : 위상 신무협 장편소설. 3</t>
  </si>
  <si>
    <t>JD0000025082</t>
  </si>
  <si>
    <t>대영반 : 위상 신무협 장편소설. 4</t>
  </si>
  <si>
    <t>JD0000025083</t>
  </si>
  <si>
    <t>대영반 : 위상 신무협 장편소설. 5</t>
  </si>
  <si>
    <t>JD0000025084</t>
  </si>
  <si>
    <t>대영반 : 위상 신무협 장편소설. 6</t>
  </si>
  <si>
    <t>JD0000025085</t>
  </si>
  <si>
    <t>대영반 : 위상 신무협 장편소설. 7</t>
  </si>
  <si>
    <t>JD0000025086</t>
  </si>
  <si>
    <t>대영반 : 위상 신무협 장편소설. 8</t>
  </si>
  <si>
    <t>JD0000025087</t>
  </si>
  <si>
    <t>대영반 : 위상 신무협 장편소설. 9</t>
  </si>
  <si>
    <t>JD0000025088</t>
  </si>
  <si>
    <t>대영반 : 위상 신무협 장편소설. 10</t>
  </si>
  <si>
    <t>JD0000025089</t>
  </si>
  <si>
    <t>정글만리 : 조정래 장편소설. 1</t>
  </si>
  <si>
    <t>조정래 지음</t>
  </si>
  <si>
    <t>JD0000025090</t>
  </si>
  <si>
    <t>정글만리 : 조정래 장편소설. 2</t>
  </si>
  <si>
    <t>JD0000025091</t>
  </si>
  <si>
    <t>정글만리 : 조정래 장편소설. 3</t>
  </si>
  <si>
    <t>JD0000025092</t>
  </si>
  <si>
    <t>점박이 무당벌레와 숨바꼭질 애벌레</t>
  </si>
  <si>
    <t>홍건국 글;박현아 그림</t>
  </si>
  <si>
    <t>훈민출판사</t>
  </si>
  <si>
    <t>[2012]</t>
  </si>
  <si>
    <t>JD0000025093</t>
  </si>
  <si>
    <t>꼬마 표범의 정글 여행</t>
  </si>
  <si>
    <t>홍건국 글;김선희 그림</t>
  </si>
  <si>
    <t>JD0000025094</t>
  </si>
  <si>
    <t>꿀꿀이의 주말 농장</t>
  </si>
  <si>
    <t>홍건국 글;송선옥 그림</t>
  </si>
  <si>
    <t>JD0000025095</t>
  </si>
  <si>
    <t>과자공장에 놀러 간 숫자들</t>
  </si>
  <si>
    <t>홍윤희 글;손민지 그림</t>
  </si>
  <si>
    <t>JD0000025096</t>
  </si>
  <si>
    <t>아기유니콘이 태어났어요</t>
  </si>
  <si>
    <t>정은주 글;곽주원 그림</t>
  </si>
  <si>
    <t>JD0000025097</t>
  </si>
  <si>
    <t>꼬마 산타가 된 떼쟁이 아이</t>
  </si>
  <si>
    <t>정은주 글;구분선 그림</t>
  </si>
  <si>
    <t>JD0000025098</t>
  </si>
  <si>
    <t>달님의 선물</t>
  </si>
  <si>
    <t>홍윤희 글;윤지현 그림</t>
  </si>
  <si>
    <t>JD0000025099</t>
  </si>
  <si>
    <t>데구루루 젊어지는 고개</t>
  </si>
  <si>
    <t>홍건국 글;김태란 그림</t>
  </si>
  <si>
    <t>JD0000025100</t>
  </si>
  <si>
    <t>원숭이 또또는 모으기 대장</t>
  </si>
  <si>
    <t>허문선 글;하지희 그림</t>
  </si>
  <si>
    <t>JD0000025101</t>
  </si>
  <si>
    <t>돌배나무 언덕 까마귀 대소동</t>
  </si>
  <si>
    <t>홍건국 글;조지은 그림</t>
  </si>
  <si>
    <t>JD0000025102</t>
  </si>
  <si>
    <t>삐죽이와 넓적이의 집짓기 대소동</t>
  </si>
  <si>
    <t>이민 글;서진선 그림</t>
  </si>
  <si>
    <t>JD0000025103</t>
  </si>
  <si>
    <t>임금님, 무엇을 찾고 계세요?</t>
  </si>
  <si>
    <t>최은규 글;성미리 그림</t>
  </si>
  <si>
    <t>JD0000025104</t>
  </si>
  <si>
    <t>거지 소년 로이의 꿈</t>
  </si>
  <si>
    <t>오현경 글;김원만 그림</t>
  </si>
  <si>
    <t>JD0000025105</t>
  </si>
  <si>
    <t>들쭉날쭉의 마법시험</t>
  </si>
  <si>
    <t>이일로 글;위승희 그림</t>
  </si>
  <si>
    <t>JD0000025106</t>
  </si>
  <si>
    <t>오리기 선수 거위벌레</t>
  </si>
  <si>
    <t>홍건국 글;조은주 그림</t>
  </si>
  <si>
    <t>JD0000025107</t>
  </si>
  <si>
    <t>아빠는 네가 자랑스러워</t>
  </si>
  <si>
    <t>전다연 글;박정호 그림</t>
  </si>
  <si>
    <t>JD0000025108</t>
  </si>
  <si>
    <t>토끼 마을 짝눈이</t>
  </si>
  <si>
    <t>전다연 글;김양이 그림</t>
  </si>
  <si>
    <t>JD0000025109</t>
  </si>
  <si>
    <t>배고픈 아기괴물</t>
  </si>
  <si>
    <t>전다연 글;한재홍 그림</t>
  </si>
  <si>
    <t>JD0000025110</t>
  </si>
  <si>
    <t>꽃 할머니와 아기공룡 망고</t>
  </si>
  <si>
    <t>전다연 글;이한중 그림</t>
  </si>
  <si>
    <t>JD0000025111</t>
  </si>
  <si>
    <t>끼리끼리 요술 끈과 따로따로 바구니</t>
  </si>
  <si>
    <t>홍건국 글;김현경 그림</t>
  </si>
  <si>
    <t>JD0000025112</t>
  </si>
  <si>
    <t>멋쟁이 공주님</t>
  </si>
  <si>
    <t>김현정 글;이혜진 그림</t>
  </si>
  <si>
    <t>JD0000025113</t>
  </si>
  <si>
    <t>낑낑, 훨훨 날아가는 양탄자</t>
  </si>
  <si>
    <t>김민자 글;김명호 그림</t>
  </si>
  <si>
    <t>JD0000025114</t>
  </si>
  <si>
    <t>아름이의 새 방</t>
  </si>
  <si>
    <t>김현정 글;박수정 그림</t>
  </si>
  <si>
    <t>JD0000025115</t>
  </si>
  <si>
    <t>아빠 팔은 굵어, 콩이 팔은 가늘어</t>
  </si>
  <si>
    <t>김민자 글;김백송 그림</t>
  </si>
  <si>
    <t>JD0000025116</t>
  </si>
  <si>
    <t>누가 누가 더 길까</t>
  </si>
  <si>
    <t>김영애 글;김명호 그림</t>
  </si>
  <si>
    <t>JD0000025117</t>
  </si>
  <si>
    <t>알쏭달쏭 꽃게 왕발이</t>
  </si>
  <si>
    <t>김태형 글;송수정 그림</t>
  </si>
  <si>
    <t>JD0000025118</t>
  </si>
  <si>
    <t>캉캉이의 풍선 여행</t>
  </si>
  <si>
    <t>김태형 글;이선주 그림</t>
  </si>
  <si>
    <t>JD0000025119</t>
  </si>
  <si>
    <t>별 모양 문 밖에 무엇이 있을까</t>
  </si>
  <si>
    <t>김태형 글;김선민 그림</t>
  </si>
  <si>
    <t>JD0000025120</t>
  </si>
  <si>
    <t>동물 나라 명탐정 키키</t>
  </si>
  <si>
    <t>김태형 글;김현주 그림</t>
  </si>
  <si>
    <t>JD0000025121</t>
  </si>
  <si>
    <t>몽글 귀신은 운이 좋아</t>
  </si>
  <si>
    <t>JD0000025122</t>
  </si>
  <si>
    <t>백설공주</t>
  </si>
  <si>
    <t>그림형제 원작;신현배 글;박민희 그림</t>
  </si>
  <si>
    <t>JD0000025123</t>
  </si>
  <si>
    <t>백조왕자</t>
  </si>
  <si>
    <t>안데르센 원작;조항록 글;장혜련 그림</t>
  </si>
  <si>
    <t>JD0000025124</t>
  </si>
  <si>
    <t>빨간모자</t>
  </si>
  <si>
    <t>그림형제 원작;송종호 글;이다현 그림</t>
  </si>
  <si>
    <t>JD0000025125</t>
  </si>
  <si>
    <t>헨젤과 그레텔</t>
  </si>
  <si>
    <t>그림형제 원작;신현배 글;조정희 그림</t>
  </si>
  <si>
    <t>JD0000025126</t>
  </si>
  <si>
    <t>잭과 콩 줄기</t>
  </si>
  <si>
    <t>영국민화 원작;배효정 글;전병준 그림</t>
  </si>
  <si>
    <t>[2011]</t>
  </si>
  <si>
    <t>JD0000025127</t>
  </si>
  <si>
    <t>빨강머리 앤</t>
  </si>
  <si>
    <t>몽고메리 원작;이림 글;정민석 그림</t>
  </si>
  <si>
    <t>JD0000025128</t>
  </si>
  <si>
    <t>미운 아기오리</t>
  </si>
  <si>
    <t>안데르센 원작;이림 글;김성영 그림</t>
  </si>
  <si>
    <t>JD0000025129</t>
  </si>
  <si>
    <t>거인의 정원</t>
  </si>
  <si>
    <t>오스카 와일 원작;송종호 글;윤순정 그림</t>
  </si>
  <si>
    <t>JD0000025130</t>
  </si>
  <si>
    <t>신데렐라</t>
  </si>
  <si>
    <t>JD0000025131</t>
  </si>
  <si>
    <t>피노키오</t>
  </si>
  <si>
    <t>콜로디 원작;송종호 글;황지영 그림</t>
  </si>
  <si>
    <t>JD0000025132</t>
  </si>
  <si>
    <t>인어공주</t>
  </si>
  <si>
    <t>안데르센 원작;김현애 글;조춘희 그림</t>
  </si>
  <si>
    <t>JD0000025133</t>
  </si>
  <si>
    <t>피터 팬</t>
  </si>
  <si>
    <t>J. M. 배리 원작;신현배 글;유승정 그림</t>
  </si>
  <si>
    <t>JD0000025134</t>
  </si>
  <si>
    <t>브레멘 음악대</t>
  </si>
  <si>
    <t>그림 형제 원작;김현애 글;민경순 그림</t>
  </si>
  <si>
    <t>JD0000025135</t>
  </si>
  <si>
    <t>눈의여왕</t>
  </si>
  <si>
    <t>안데르센 원작;신현배 글;임경미 그림</t>
  </si>
  <si>
    <t>JD0000025136</t>
  </si>
  <si>
    <t>벌거벗은 임금님</t>
  </si>
  <si>
    <t>안데르센 원작;이림 글;전혜령 그림</t>
  </si>
  <si>
    <t>JD0000025137</t>
  </si>
  <si>
    <t>아기돼지 삼형제</t>
  </si>
  <si>
    <t>조셉 제이콥스 원작;조항록 글;김마늘 그림</t>
  </si>
  <si>
    <t>JD0000025138</t>
  </si>
  <si>
    <t>정글 북</t>
  </si>
  <si>
    <t>J. R. 카플링 원작;송종호 글;김미정 그림</t>
  </si>
  <si>
    <t>JD0000025139</t>
  </si>
  <si>
    <t>로빈슨 크루소</t>
  </si>
  <si>
    <t>대니얼 디포 원작;조항록 글;박주원 그림</t>
  </si>
  <si>
    <t>JD0000025140</t>
  </si>
  <si>
    <t>프랭크 바움 원작;배효정 글;배은정 그림</t>
  </si>
  <si>
    <t>JD0000025141</t>
  </si>
  <si>
    <t>피리부는 사나이</t>
  </si>
  <si>
    <t>독일민화 원작;배효정 글;김민정 그림</t>
  </si>
  <si>
    <t>JD0000025142</t>
  </si>
  <si>
    <t>손오공</t>
  </si>
  <si>
    <t>오승은 원작;이재희 글;박지훈 그림</t>
  </si>
  <si>
    <t>JD0000025143</t>
  </si>
  <si>
    <t>톰소여의 모험</t>
  </si>
  <si>
    <t>마크 트웨인 원작;김현애 글;전상우 그림</t>
  </si>
  <si>
    <t>JD0000025144</t>
  </si>
  <si>
    <t>이솝 이야기</t>
  </si>
  <si>
    <t>이솝 원작;배효정 글;조수진;오현균;김성영;박경란 그림</t>
  </si>
  <si>
    <t>JD0000025145</t>
  </si>
  <si>
    <t>알라딘의 요술 램프</t>
  </si>
  <si>
    <t>아라비아 설화 원작;조항록 글;한경호 그림</t>
  </si>
  <si>
    <t>JD0000025146</t>
  </si>
  <si>
    <t>걸리버 여행기</t>
  </si>
  <si>
    <t>조너선 스위프트 원작;조항록 글;최철민 그림</t>
  </si>
  <si>
    <t>JD0000025147</t>
  </si>
  <si>
    <t>이상한 나라의 앨리스</t>
  </si>
  <si>
    <t>루이스 캐럴 원작;신현배 글;조형윤 그림</t>
  </si>
  <si>
    <t>JD0000025148</t>
  </si>
  <si>
    <t>돈키호테</t>
  </si>
  <si>
    <t>세르반테스 원작;김학민 글;문종성 그림</t>
  </si>
  <si>
    <t>JD0000025149</t>
  </si>
  <si>
    <t>쥘 베른 원작;조항록 글;심수근 그림</t>
  </si>
  <si>
    <t>JD0000025150</t>
  </si>
  <si>
    <t>어린 왕자</t>
  </si>
  <si>
    <t>생텍쥐페리 원작;신현배 글;신혜정 그림</t>
  </si>
  <si>
    <t>JD0000025151</t>
  </si>
  <si>
    <t>나의 라임오렌지 나무</t>
  </si>
  <si>
    <t>바스콘셀로스 원작;김현애 글;전혜령 그림</t>
  </si>
  <si>
    <t>JD0000025152</t>
  </si>
  <si>
    <t>숲 속의 잔치</t>
  </si>
  <si>
    <t>이은경 글;임경희 그림</t>
  </si>
  <si>
    <t>JD0000025153</t>
  </si>
  <si>
    <t>친구야 놀자!</t>
  </si>
  <si>
    <t>JD0000025154</t>
  </si>
  <si>
    <t>어디 가니?</t>
  </si>
  <si>
    <t>JD0000025155</t>
  </si>
  <si>
    <t>무슨 색깔일까요?</t>
  </si>
  <si>
    <t>JD0000025156</t>
  </si>
  <si>
    <t>예쁜 내 물건</t>
  </si>
  <si>
    <t>JD0000025157</t>
  </si>
  <si>
    <t>아기코끼리의 하루</t>
  </si>
  <si>
    <t>이은경 글;정주현 그림</t>
  </si>
  <si>
    <t>JD0000025158</t>
  </si>
  <si>
    <t>재롱둥이 아기원숭이</t>
  </si>
  <si>
    <t>JD0000025159</t>
  </si>
  <si>
    <t>찍찍이의 식사시간</t>
  </si>
  <si>
    <t>JD0000025160</t>
  </si>
  <si>
    <t>반짝반짝 하얀이</t>
  </si>
  <si>
    <t>JD0000025161</t>
  </si>
  <si>
    <t>깨끗한 몸, 상쾌한 기분</t>
  </si>
  <si>
    <t>JD0000025162</t>
  </si>
  <si>
    <t>무엇을 가지고 갈까요?</t>
  </si>
  <si>
    <t>이은경 글;이현진 그림</t>
  </si>
  <si>
    <t>JD0000025163</t>
  </si>
  <si>
    <t>야, 피자다!</t>
  </si>
  <si>
    <t>JD0000025164</t>
  </si>
  <si>
    <t>삐악아, 어디 있니?</t>
  </si>
  <si>
    <t>JD0000025165</t>
  </si>
  <si>
    <t>시장나들이</t>
  </si>
  <si>
    <t>JD0000025166</t>
  </si>
  <si>
    <t>다람쥐야, 뭐 하니?</t>
  </si>
  <si>
    <t>JD0000025167</t>
  </si>
  <si>
    <t>앗, 조심해!</t>
  </si>
  <si>
    <t>이은경 글;이은선 그림</t>
  </si>
  <si>
    <t>JD0000025168</t>
  </si>
  <si>
    <t>곰돌이의 버릇</t>
  </si>
  <si>
    <t>JD0000025169</t>
  </si>
  <si>
    <t>다 입었어요</t>
  </si>
  <si>
    <t>JD0000025170</t>
  </si>
  <si>
    <t>안 돼요 안 돼!</t>
  </si>
  <si>
    <t>JD0000025171</t>
  </si>
  <si>
    <t>안녕하세요</t>
  </si>
  <si>
    <t>JD0000025172</t>
  </si>
  <si>
    <t>까칠하게 힐링 : &lt;무한도전&gt; 정신감정 주치의 송형석의 심리치료 에세이</t>
  </si>
  <si>
    <t>송형석 지음</t>
  </si>
  <si>
    <t>JD0000025173</t>
  </si>
  <si>
    <t>소셜미디어가 세상을 바꾼다 : 나꼼수 열풍에서 박원순 돌풍까지 대한민국을 휩쓴 소셜 열풍</t>
  </si>
  <si>
    <t>이창호;김은국;최영재 지음</t>
  </si>
  <si>
    <t>한누리미디어</t>
  </si>
  <si>
    <t>JD0000025174</t>
  </si>
  <si>
    <t>그라시아스, 행복한 사람들 = 90 days in South America :</t>
  </si>
  <si>
    <t>오중빈</t>
  </si>
  <si>
    <t>JD0000025175</t>
  </si>
  <si>
    <t>꾸러기 영재들의 과학동화 이야기. 1</t>
  </si>
  <si>
    <t>인천대학교 과학영재교육원 초등심화과정 아이들 지음</t>
  </si>
  <si>
    <t>한맥</t>
  </si>
  <si>
    <t>JD0000025176</t>
  </si>
  <si>
    <t>꾸러기 영재들의 과학동화 이야기. 2</t>
  </si>
  <si>
    <t>JD0000025177</t>
  </si>
  <si>
    <t>달팽이가 느려도 늦지 않다</t>
  </si>
  <si>
    <t>지은이: 정목</t>
  </si>
  <si>
    <t xml:space="preserve">철마도서관 2013년 구입도서 목록 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</si>
</sst>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97"/>
  <sheetViews>
    <sheetView tabSelected="1" workbookViewId="0">
      <selection activeCell="L8" sqref="L8"/>
    </sheetView>
  </sheetViews>
  <sheetFormatPr defaultRowHeight="16.5"/>
  <cols>
    <col min="1" max="1" width="8.375" customWidth="1"/>
    <col min="2" max="3" width="0" hidden="1" customWidth="1"/>
    <col min="4" max="4" width="14.75" customWidth="1"/>
    <col min="5" max="5" width="48.625" style="4" customWidth="1"/>
    <col min="6" max="6" width="20.125" style="1" customWidth="1"/>
    <col min="7" max="7" width="18.875" style="1" customWidth="1"/>
    <col min="9" max="10" width="0" hidden="1" customWidth="1"/>
  </cols>
  <sheetData>
    <row r="1" spans="1:10" ht="47.25" customHeight="1">
      <c r="A1" s="6" t="s">
        <v>8454</v>
      </c>
      <c r="B1" s="7"/>
      <c r="C1" s="7"/>
      <c r="D1" s="7"/>
      <c r="E1" s="7"/>
      <c r="F1" s="7"/>
      <c r="G1" s="7"/>
      <c r="H1" s="8"/>
    </row>
    <row r="2" spans="1:10" ht="24.75" customHeight="1">
      <c r="A2" s="9"/>
      <c r="B2" s="10"/>
      <c r="C2" s="10"/>
      <c r="D2" s="10"/>
      <c r="E2" s="10"/>
      <c r="F2" s="10"/>
      <c r="G2" s="10"/>
      <c r="H2" s="11"/>
    </row>
    <row r="3" spans="1:10" ht="33.75" customHeight="1">
      <c r="A3" s="2"/>
      <c r="B3" s="2" t="s">
        <v>0</v>
      </c>
      <c r="C3" s="2" t="s">
        <v>1</v>
      </c>
      <c r="D3" s="2" t="s">
        <v>2</v>
      </c>
      <c r="E3" s="5" t="s">
        <v>3</v>
      </c>
      <c r="F3" s="3" t="s">
        <v>4</v>
      </c>
      <c r="G3" s="3" t="s">
        <v>5</v>
      </c>
      <c r="H3" s="2" t="s">
        <v>6</v>
      </c>
      <c r="I3" t="s">
        <v>7</v>
      </c>
      <c r="J3" t="s">
        <v>8</v>
      </c>
    </row>
    <row r="4" spans="1:10">
      <c r="A4" s="2" t="str">
        <f>"1"</f>
        <v>1</v>
      </c>
      <c r="B4" s="2" t="s">
        <v>9</v>
      </c>
      <c r="C4" s="2" t="str">
        <f>"1 (1)"</f>
        <v>1 (1)</v>
      </c>
      <c r="D4" s="2" t="s">
        <v>10</v>
      </c>
      <c r="E4" s="5" t="s">
        <v>11</v>
      </c>
      <c r="F4" s="3" t="s">
        <v>12</v>
      </c>
      <c r="G4" s="3" t="s">
        <v>13</v>
      </c>
      <c r="H4" s="2" t="str">
        <f>"2012"</f>
        <v>2012</v>
      </c>
      <c r="I4" t="s">
        <v>14</v>
      </c>
      <c r="J4" t="s">
        <v>15</v>
      </c>
    </row>
    <row r="5" spans="1:10">
      <c r="A5" s="2" t="str">
        <f>"2"</f>
        <v>2</v>
      </c>
      <c r="B5" s="2" t="s">
        <v>9</v>
      </c>
      <c r="C5" s="2" t="str">
        <f>"1 (1)"</f>
        <v>1 (1)</v>
      </c>
      <c r="D5" s="2" t="s">
        <v>16</v>
      </c>
      <c r="E5" s="5" t="s">
        <v>17</v>
      </c>
      <c r="F5" s="3" t="s">
        <v>18</v>
      </c>
      <c r="G5" s="3" t="s">
        <v>19</v>
      </c>
      <c r="H5" s="2" t="str">
        <f>"2012"</f>
        <v>2012</v>
      </c>
      <c r="I5" t="s">
        <v>14</v>
      </c>
      <c r="J5" t="s">
        <v>15</v>
      </c>
    </row>
    <row r="6" spans="1:10">
      <c r="A6" s="2" t="str">
        <f>"3"</f>
        <v>3</v>
      </c>
      <c r="B6" s="2" t="s">
        <v>9</v>
      </c>
      <c r="C6" s="2" t="str">
        <f>"1 (1)"</f>
        <v>1 (1)</v>
      </c>
      <c r="D6" s="2" t="s">
        <v>20</v>
      </c>
      <c r="E6" s="5" t="s">
        <v>21</v>
      </c>
      <c r="F6" s="3" t="s">
        <v>22</v>
      </c>
      <c r="G6" s="3" t="s">
        <v>19</v>
      </c>
      <c r="H6" s="2" t="str">
        <f>"2012"</f>
        <v>2012</v>
      </c>
      <c r="I6" t="s">
        <v>14</v>
      </c>
      <c r="J6" t="s">
        <v>15</v>
      </c>
    </row>
    <row r="7" spans="1:10">
      <c r="A7" s="2" t="str">
        <f>"4"</f>
        <v>4</v>
      </c>
      <c r="B7" s="2" t="s">
        <v>9</v>
      </c>
      <c r="C7" s="2" t="str">
        <f>"1 (1)"</f>
        <v>1 (1)</v>
      </c>
      <c r="D7" s="2" t="s">
        <v>23</v>
      </c>
      <c r="E7" s="5" t="s">
        <v>24</v>
      </c>
      <c r="F7" s="3" t="s">
        <v>25</v>
      </c>
      <c r="G7" s="3" t="s">
        <v>19</v>
      </c>
      <c r="H7" s="2" t="str">
        <f>"2012"</f>
        <v>2012</v>
      </c>
      <c r="I7" t="s">
        <v>14</v>
      </c>
      <c r="J7" t="s">
        <v>15</v>
      </c>
    </row>
    <row r="8" spans="1:10">
      <c r="A8" s="2" t="str">
        <f>"5"</f>
        <v>5</v>
      </c>
      <c r="B8" s="2" t="s">
        <v>9</v>
      </c>
      <c r="C8" s="2" t="str">
        <f>"1 (1)"</f>
        <v>1 (1)</v>
      </c>
      <c r="D8" s="2" t="s">
        <v>26</v>
      </c>
      <c r="E8" s="5" t="s">
        <v>27</v>
      </c>
      <c r="F8" s="3" t="s">
        <v>28</v>
      </c>
      <c r="G8" s="3" t="s">
        <v>19</v>
      </c>
      <c r="H8" s="2" t="str">
        <f>"2012"</f>
        <v>2012</v>
      </c>
      <c r="I8" t="s">
        <v>14</v>
      </c>
      <c r="J8" t="s">
        <v>15</v>
      </c>
    </row>
    <row r="9" spans="1:10">
      <c r="A9" s="2" t="str">
        <f>"6"</f>
        <v>6</v>
      </c>
      <c r="B9" s="2" t="s">
        <v>9</v>
      </c>
      <c r="C9" s="2" t="str">
        <f>"1 (1)"</f>
        <v>1 (1)</v>
      </c>
      <c r="D9" s="2" t="s">
        <v>29</v>
      </c>
      <c r="E9" s="5" t="s">
        <v>30</v>
      </c>
      <c r="F9" s="3" t="s">
        <v>31</v>
      </c>
      <c r="G9" s="3" t="s">
        <v>19</v>
      </c>
      <c r="H9" s="2" t="str">
        <f>"2012"</f>
        <v>2012</v>
      </c>
      <c r="I9" t="s">
        <v>14</v>
      </c>
      <c r="J9" t="s">
        <v>15</v>
      </c>
    </row>
    <row r="10" spans="1:10">
      <c r="A10" s="2" t="str">
        <f>"7"</f>
        <v>7</v>
      </c>
      <c r="B10" s="2" t="s">
        <v>9</v>
      </c>
      <c r="C10" s="2" t="str">
        <f>"1 (1)"</f>
        <v>1 (1)</v>
      </c>
      <c r="D10" s="2" t="s">
        <v>32</v>
      </c>
      <c r="E10" s="5" t="s">
        <v>33</v>
      </c>
      <c r="F10" s="3" t="s">
        <v>34</v>
      </c>
      <c r="G10" s="3" t="s">
        <v>35</v>
      </c>
      <c r="H10" s="2" t="str">
        <f>"2010"</f>
        <v>2010</v>
      </c>
      <c r="I10" t="s">
        <v>14</v>
      </c>
      <c r="J10" t="s">
        <v>15</v>
      </c>
    </row>
    <row r="11" spans="1:10">
      <c r="A11" s="2" t="str">
        <f>"8"</f>
        <v>8</v>
      </c>
      <c r="B11" s="2" t="s">
        <v>9</v>
      </c>
      <c r="C11" s="2" t="str">
        <f>"1 (1)"</f>
        <v>1 (1)</v>
      </c>
      <c r="D11" s="2" t="s">
        <v>36</v>
      </c>
      <c r="E11" s="5" t="s">
        <v>37</v>
      </c>
      <c r="F11" s="3" t="s">
        <v>38</v>
      </c>
      <c r="G11" s="3" t="s">
        <v>35</v>
      </c>
      <c r="H11" s="2" t="str">
        <f>"2010"</f>
        <v>2010</v>
      </c>
      <c r="I11" t="s">
        <v>14</v>
      </c>
      <c r="J11" t="s">
        <v>15</v>
      </c>
    </row>
    <row r="12" spans="1:10">
      <c r="A12" s="2" t="str">
        <f>"9"</f>
        <v>9</v>
      </c>
      <c r="B12" s="2" t="s">
        <v>9</v>
      </c>
      <c r="C12" s="2" t="str">
        <f>"1 (1)"</f>
        <v>1 (1)</v>
      </c>
      <c r="D12" s="2" t="s">
        <v>39</v>
      </c>
      <c r="E12" s="5" t="s">
        <v>40</v>
      </c>
      <c r="F12" s="3" t="s">
        <v>41</v>
      </c>
      <c r="G12" s="3" t="s">
        <v>35</v>
      </c>
      <c r="H12" s="2" t="str">
        <f>"2010"</f>
        <v>2010</v>
      </c>
      <c r="I12" t="s">
        <v>14</v>
      </c>
      <c r="J12" t="s">
        <v>15</v>
      </c>
    </row>
    <row r="13" spans="1:10">
      <c r="A13" s="2" t="str">
        <f>"10"</f>
        <v>10</v>
      </c>
      <c r="B13" s="2" t="s">
        <v>9</v>
      </c>
      <c r="C13" s="2" t="str">
        <f>"1 (1)"</f>
        <v>1 (1)</v>
      </c>
      <c r="D13" s="2" t="s">
        <v>42</v>
      </c>
      <c r="E13" s="5" t="s">
        <v>43</v>
      </c>
      <c r="F13" s="3" t="s">
        <v>44</v>
      </c>
      <c r="G13" s="3" t="s">
        <v>35</v>
      </c>
      <c r="H13" s="2" t="str">
        <f>"2011"</f>
        <v>2011</v>
      </c>
      <c r="I13" t="s">
        <v>14</v>
      </c>
      <c r="J13" t="s">
        <v>15</v>
      </c>
    </row>
    <row r="14" spans="1:10">
      <c r="A14" s="2" t="str">
        <f>"11"</f>
        <v>11</v>
      </c>
      <c r="B14" s="2" t="s">
        <v>9</v>
      </c>
      <c r="C14" s="2" t="str">
        <f>"1 (1)"</f>
        <v>1 (1)</v>
      </c>
      <c r="D14" s="2" t="s">
        <v>45</v>
      </c>
      <c r="E14" s="5" t="s">
        <v>46</v>
      </c>
      <c r="F14" s="3" t="s">
        <v>47</v>
      </c>
      <c r="G14" s="3" t="s">
        <v>35</v>
      </c>
      <c r="H14" s="2" t="str">
        <f>"2012"</f>
        <v>2012</v>
      </c>
      <c r="I14" t="s">
        <v>14</v>
      </c>
      <c r="J14" t="s">
        <v>15</v>
      </c>
    </row>
    <row r="15" spans="1:10">
      <c r="A15" s="2" t="str">
        <f>"12"</f>
        <v>12</v>
      </c>
      <c r="B15" s="2" t="s">
        <v>9</v>
      </c>
      <c r="C15" s="2" t="str">
        <f>"1 (1)"</f>
        <v>1 (1)</v>
      </c>
      <c r="D15" s="2" t="s">
        <v>48</v>
      </c>
      <c r="E15" s="5" t="s">
        <v>49</v>
      </c>
      <c r="F15" s="3" t="s">
        <v>50</v>
      </c>
      <c r="G15" s="3" t="s">
        <v>35</v>
      </c>
      <c r="H15" s="2" t="str">
        <f>"2012"</f>
        <v>2012</v>
      </c>
      <c r="I15" t="s">
        <v>14</v>
      </c>
      <c r="J15" t="s">
        <v>15</v>
      </c>
    </row>
    <row r="16" spans="1:10">
      <c r="A16" s="2" t="str">
        <f>"13"</f>
        <v>13</v>
      </c>
      <c r="B16" s="2" t="s">
        <v>9</v>
      </c>
      <c r="C16" s="2" t="str">
        <f>"1 (1)"</f>
        <v>1 (1)</v>
      </c>
      <c r="D16" s="2" t="s">
        <v>51</v>
      </c>
      <c r="E16" s="5" t="s">
        <v>52</v>
      </c>
      <c r="F16" s="3" t="s">
        <v>53</v>
      </c>
      <c r="G16" s="3" t="s">
        <v>54</v>
      </c>
      <c r="H16" s="2" t="str">
        <f>"2012"</f>
        <v>2012</v>
      </c>
      <c r="I16" t="s">
        <v>14</v>
      </c>
      <c r="J16" t="s">
        <v>15</v>
      </c>
    </row>
    <row r="17" spans="1:10">
      <c r="A17" s="2" t="str">
        <f>"14"</f>
        <v>14</v>
      </c>
      <c r="B17" s="2" t="s">
        <v>9</v>
      </c>
      <c r="C17" s="2" t="str">
        <f>"1 (1)"</f>
        <v>1 (1)</v>
      </c>
      <c r="D17" s="2" t="s">
        <v>55</v>
      </c>
      <c r="E17" s="5" t="s">
        <v>56</v>
      </c>
      <c r="F17" s="3" t="s">
        <v>57</v>
      </c>
      <c r="G17" s="3" t="s">
        <v>58</v>
      </c>
      <c r="H17" s="2" t="str">
        <f>"2012"</f>
        <v>2012</v>
      </c>
      <c r="I17" t="s">
        <v>14</v>
      </c>
      <c r="J17" t="s">
        <v>15</v>
      </c>
    </row>
    <row r="18" spans="1:10">
      <c r="A18" s="2" t="str">
        <f>"15"</f>
        <v>15</v>
      </c>
      <c r="B18" s="2" t="s">
        <v>9</v>
      </c>
      <c r="C18" s="2" t="str">
        <f>"1 (1)"</f>
        <v>1 (1)</v>
      </c>
      <c r="D18" s="2" t="s">
        <v>59</v>
      </c>
      <c r="E18" s="5" t="s">
        <v>60</v>
      </c>
      <c r="F18" s="3" t="s">
        <v>61</v>
      </c>
      <c r="G18" s="3" t="s">
        <v>62</v>
      </c>
      <c r="H18" s="2" t="str">
        <f>"2012"</f>
        <v>2012</v>
      </c>
      <c r="I18" t="s">
        <v>14</v>
      </c>
      <c r="J18" t="s">
        <v>15</v>
      </c>
    </row>
    <row r="19" spans="1:10">
      <c r="A19" s="2" t="str">
        <f>"16"</f>
        <v>16</v>
      </c>
      <c r="B19" s="2" t="s">
        <v>9</v>
      </c>
      <c r="C19" s="2" t="str">
        <f>"1 (1)"</f>
        <v>1 (1)</v>
      </c>
      <c r="D19" s="2" t="s">
        <v>63</v>
      </c>
      <c r="E19" s="5" t="s">
        <v>64</v>
      </c>
      <c r="F19" s="3" t="s">
        <v>65</v>
      </c>
      <c r="G19" s="3" t="s">
        <v>66</v>
      </c>
      <c r="H19" s="2" t="str">
        <f>"2012"</f>
        <v>2012</v>
      </c>
      <c r="I19" t="s">
        <v>14</v>
      </c>
      <c r="J19" t="s">
        <v>15</v>
      </c>
    </row>
    <row r="20" spans="1:10">
      <c r="A20" s="2" t="str">
        <f>"17"</f>
        <v>17</v>
      </c>
      <c r="B20" s="2" t="s">
        <v>9</v>
      </c>
      <c r="C20" s="2" t="str">
        <f>"1 (1)"</f>
        <v>1 (1)</v>
      </c>
      <c r="D20" s="2" t="s">
        <v>67</v>
      </c>
      <c r="E20" s="5" t="s">
        <v>68</v>
      </c>
      <c r="F20" s="3" t="s">
        <v>69</v>
      </c>
      <c r="G20" s="3" t="s">
        <v>70</v>
      </c>
      <c r="H20" s="2" t="str">
        <f>"2012"</f>
        <v>2012</v>
      </c>
      <c r="I20" t="s">
        <v>14</v>
      </c>
      <c r="J20" t="s">
        <v>15</v>
      </c>
    </row>
    <row r="21" spans="1:10">
      <c r="A21" s="2" t="str">
        <f>"18"</f>
        <v>18</v>
      </c>
      <c r="B21" s="2" t="s">
        <v>9</v>
      </c>
      <c r="C21" s="2" t="str">
        <f>"1 (1)"</f>
        <v>1 (1)</v>
      </c>
      <c r="D21" s="2" t="s">
        <v>71</v>
      </c>
      <c r="E21" s="5" t="s">
        <v>72</v>
      </c>
      <c r="F21" s="3" t="s">
        <v>73</v>
      </c>
      <c r="G21" s="3" t="s">
        <v>74</v>
      </c>
      <c r="H21" s="2" t="str">
        <f>"2012"</f>
        <v>2012</v>
      </c>
      <c r="I21" t="s">
        <v>14</v>
      </c>
      <c r="J21" t="s">
        <v>15</v>
      </c>
    </row>
    <row r="22" spans="1:10">
      <c r="A22" s="2" t="str">
        <f>"19"</f>
        <v>19</v>
      </c>
      <c r="B22" s="2" t="s">
        <v>9</v>
      </c>
      <c r="C22" s="2" t="str">
        <f>"1 (1)"</f>
        <v>1 (1)</v>
      </c>
      <c r="D22" s="2" t="s">
        <v>75</v>
      </c>
      <c r="E22" s="5" t="s">
        <v>76</v>
      </c>
      <c r="F22" s="3" t="s">
        <v>77</v>
      </c>
      <c r="G22" s="3" t="s">
        <v>78</v>
      </c>
      <c r="H22" s="2" t="str">
        <f>"2012"</f>
        <v>2012</v>
      </c>
      <c r="I22" t="s">
        <v>14</v>
      </c>
      <c r="J22" t="s">
        <v>15</v>
      </c>
    </row>
    <row r="23" spans="1:10">
      <c r="A23" s="2" t="str">
        <f>"20"</f>
        <v>20</v>
      </c>
      <c r="B23" s="2" t="s">
        <v>9</v>
      </c>
      <c r="C23" s="2" t="str">
        <f>"1 (1)"</f>
        <v>1 (1)</v>
      </c>
      <c r="D23" s="2" t="s">
        <v>79</v>
      </c>
      <c r="E23" s="5" t="s">
        <v>80</v>
      </c>
      <c r="F23" s="3" t="s">
        <v>81</v>
      </c>
      <c r="G23" s="3" t="s">
        <v>82</v>
      </c>
      <c r="H23" s="2" t="str">
        <f>"2012"</f>
        <v>2012</v>
      </c>
      <c r="I23" t="s">
        <v>14</v>
      </c>
      <c r="J23" t="s">
        <v>15</v>
      </c>
    </row>
    <row r="24" spans="1:10">
      <c r="A24" s="2" t="str">
        <f>"21"</f>
        <v>21</v>
      </c>
      <c r="B24" s="2" t="s">
        <v>9</v>
      </c>
      <c r="C24" s="2" t="str">
        <f>"1 (1)"</f>
        <v>1 (1)</v>
      </c>
      <c r="D24" s="2" t="s">
        <v>83</v>
      </c>
      <c r="E24" s="5" t="s">
        <v>84</v>
      </c>
      <c r="F24" s="3" t="s">
        <v>85</v>
      </c>
      <c r="G24" s="3" t="s">
        <v>86</v>
      </c>
      <c r="H24" s="2" t="str">
        <f>"2012"</f>
        <v>2012</v>
      </c>
      <c r="I24" t="s">
        <v>14</v>
      </c>
      <c r="J24" t="s">
        <v>15</v>
      </c>
    </row>
    <row r="25" spans="1:10">
      <c r="A25" s="2" t="str">
        <f>"22"</f>
        <v>22</v>
      </c>
      <c r="B25" s="2" t="s">
        <v>9</v>
      </c>
      <c r="C25" s="2" t="str">
        <f>"1 (1)"</f>
        <v>1 (1)</v>
      </c>
      <c r="D25" s="2" t="s">
        <v>87</v>
      </c>
      <c r="E25" s="5" t="s">
        <v>88</v>
      </c>
      <c r="F25" s="3" t="s">
        <v>85</v>
      </c>
      <c r="G25" s="3" t="s">
        <v>86</v>
      </c>
      <c r="H25" s="2" t="str">
        <f>"2012"</f>
        <v>2012</v>
      </c>
      <c r="I25" t="s">
        <v>14</v>
      </c>
      <c r="J25" t="s">
        <v>15</v>
      </c>
    </row>
    <row r="26" spans="1:10">
      <c r="A26" s="2" t="str">
        <f>"23"</f>
        <v>23</v>
      </c>
      <c r="B26" s="2" t="s">
        <v>9</v>
      </c>
      <c r="C26" s="2" t="str">
        <f>"1 (1)"</f>
        <v>1 (1)</v>
      </c>
      <c r="D26" s="2" t="s">
        <v>89</v>
      </c>
      <c r="E26" s="5" t="s">
        <v>90</v>
      </c>
      <c r="F26" s="3" t="s">
        <v>85</v>
      </c>
      <c r="G26" s="3" t="s">
        <v>86</v>
      </c>
      <c r="H26" s="2" t="str">
        <f>"2012"</f>
        <v>2012</v>
      </c>
      <c r="I26" t="s">
        <v>14</v>
      </c>
      <c r="J26" t="s">
        <v>15</v>
      </c>
    </row>
    <row r="27" spans="1:10">
      <c r="A27" s="2" t="str">
        <f>"24"</f>
        <v>24</v>
      </c>
      <c r="B27" s="2" t="s">
        <v>9</v>
      </c>
      <c r="C27" s="2" t="str">
        <f>"1 (1)"</f>
        <v>1 (1)</v>
      </c>
      <c r="D27" s="2" t="s">
        <v>91</v>
      </c>
      <c r="E27" s="5" t="s">
        <v>92</v>
      </c>
      <c r="F27" s="3" t="s">
        <v>93</v>
      </c>
      <c r="G27" s="3" t="s">
        <v>94</v>
      </c>
      <c r="H27" s="2" t="str">
        <f>"2012"</f>
        <v>2012</v>
      </c>
      <c r="I27" t="s">
        <v>14</v>
      </c>
      <c r="J27" t="s">
        <v>15</v>
      </c>
    </row>
    <row r="28" spans="1:10">
      <c r="A28" s="2" t="str">
        <f>"25"</f>
        <v>25</v>
      </c>
      <c r="B28" s="2" t="s">
        <v>9</v>
      </c>
      <c r="C28" s="2" t="str">
        <f>"1 (1)"</f>
        <v>1 (1)</v>
      </c>
      <c r="D28" s="2" t="s">
        <v>95</v>
      </c>
      <c r="E28" s="5" t="s">
        <v>96</v>
      </c>
      <c r="F28" s="3" t="s">
        <v>97</v>
      </c>
      <c r="G28" s="3" t="s">
        <v>98</v>
      </c>
      <c r="H28" s="2" t="str">
        <f>"2012"</f>
        <v>2012</v>
      </c>
      <c r="I28" t="s">
        <v>14</v>
      </c>
      <c r="J28" t="s">
        <v>15</v>
      </c>
    </row>
    <row r="29" spans="1:10">
      <c r="A29" s="2" t="str">
        <f>"26"</f>
        <v>26</v>
      </c>
      <c r="B29" s="2" t="s">
        <v>9</v>
      </c>
      <c r="C29" s="2" t="str">
        <f>"1 (1)"</f>
        <v>1 (1)</v>
      </c>
      <c r="D29" s="2" t="s">
        <v>99</v>
      </c>
      <c r="E29" s="5" t="s">
        <v>100</v>
      </c>
      <c r="F29" s="3" t="s">
        <v>101</v>
      </c>
      <c r="G29" s="3" t="s">
        <v>102</v>
      </c>
      <c r="H29" s="2" t="str">
        <f>"2012"</f>
        <v>2012</v>
      </c>
      <c r="I29" t="s">
        <v>14</v>
      </c>
      <c r="J29" t="s">
        <v>15</v>
      </c>
    </row>
    <row r="30" spans="1:10">
      <c r="A30" s="2" t="str">
        <f>"27"</f>
        <v>27</v>
      </c>
      <c r="B30" s="2" t="s">
        <v>9</v>
      </c>
      <c r="C30" s="2" t="str">
        <f>"1 (1)"</f>
        <v>1 (1)</v>
      </c>
      <c r="D30" s="2" t="s">
        <v>103</v>
      </c>
      <c r="E30" s="5" t="s">
        <v>104</v>
      </c>
      <c r="F30" s="3" t="s">
        <v>105</v>
      </c>
      <c r="G30" s="3" t="s">
        <v>106</v>
      </c>
      <c r="H30" s="2" t="str">
        <f>"2012"</f>
        <v>2012</v>
      </c>
      <c r="I30" t="s">
        <v>14</v>
      </c>
      <c r="J30" t="s">
        <v>15</v>
      </c>
    </row>
    <row r="31" spans="1:10">
      <c r="A31" s="2" t="str">
        <f>"28"</f>
        <v>28</v>
      </c>
      <c r="B31" s="2" t="s">
        <v>9</v>
      </c>
      <c r="C31" s="2" t="str">
        <f>"1 (1)"</f>
        <v>1 (1)</v>
      </c>
      <c r="D31" s="2" t="s">
        <v>107</v>
      </c>
      <c r="E31" s="5" t="s">
        <v>108</v>
      </c>
      <c r="F31" s="3" t="s">
        <v>109</v>
      </c>
      <c r="G31" s="3" t="s">
        <v>110</v>
      </c>
      <c r="H31" s="2" t="str">
        <f>"2012"</f>
        <v>2012</v>
      </c>
      <c r="I31" t="s">
        <v>14</v>
      </c>
      <c r="J31" t="s">
        <v>15</v>
      </c>
    </row>
    <row r="32" spans="1:10">
      <c r="A32" s="2" t="str">
        <f>"29"</f>
        <v>29</v>
      </c>
      <c r="B32" s="2" t="s">
        <v>9</v>
      </c>
      <c r="C32" s="2" t="str">
        <f>"1 (1)"</f>
        <v>1 (1)</v>
      </c>
      <c r="D32" s="2" t="s">
        <v>111</v>
      </c>
      <c r="E32" s="5" t="s">
        <v>112</v>
      </c>
      <c r="F32" s="3" t="s">
        <v>113</v>
      </c>
      <c r="G32" s="3" t="s">
        <v>114</v>
      </c>
      <c r="H32" s="2" t="str">
        <f>"2012"</f>
        <v>2012</v>
      </c>
      <c r="I32" t="s">
        <v>14</v>
      </c>
      <c r="J32" t="s">
        <v>15</v>
      </c>
    </row>
    <row r="33" spans="1:10">
      <c r="A33" s="2" t="str">
        <f>"30"</f>
        <v>30</v>
      </c>
      <c r="B33" s="2" t="s">
        <v>9</v>
      </c>
      <c r="C33" s="2" t="str">
        <f>"1 (1)"</f>
        <v>1 (1)</v>
      </c>
      <c r="D33" s="2" t="s">
        <v>115</v>
      </c>
      <c r="E33" s="5" t="s">
        <v>116</v>
      </c>
      <c r="F33" s="3" t="s">
        <v>117</v>
      </c>
      <c r="G33" s="3" t="s">
        <v>118</v>
      </c>
      <c r="H33" s="2" t="str">
        <f>"2012"</f>
        <v>2012</v>
      </c>
      <c r="I33" t="s">
        <v>14</v>
      </c>
      <c r="J33" t="s">
        <v>15</v>
      </c>
    </row>
    <row r="34" spans="1:10">
      <c r="A34" s="2" t="str">
        <f>"31"</f>
        <v>31</v>
      </c>
      <c r="B34" s="2" t="s">
        <v>9</v>
      </c>
      <c r="C34" s="2" t="str">
        <f>"1 (1)"</f>
        <v>1 (1)</v>
      </c>
      <c r="D34" s="2" t="s">
        <v>119</v>
      </c>
      <c r="E34" s="5" t="s">
        <v>120</v>
      </c>
      <c r="F34" s="3" t="s">
        <v>121</v>
      </c>
      <c r="G34" s="3" t="s">
        <v>122</v>
      </c>
      <c r="H34" s="2" t="str">
        <f>"2012"</f>
        <v>2012</v>
      </c>
      <c r="I34" t="s">
        <v>14</v>
      </c>
      <c r="J34" t="s">
        <v>15</v>
      </c>
    </row>
    <row r="35" spans="1:10">
      <c r="A35" s="2" t="str">
        <f>"32"</f>
        <v>32</v>
      </c>
      <c r="B35" s="2" t="s">
        <v>9</v>
      </c>
      <c r="C35" s="2" t="str">
        <f>"1 (1)"</f>
        <v>1 (1)</v>
      </c>
      <c r="D35" s="2" t="s">
        <v>123</v>
      </c>
      <c r="E35" s="5" t="s">
        <v>124</v>
      </c>
      <c r="F35" s="3" t="s">
        <v>125</v>
      </c>
      <c r="G35" s="3" t="s">
        <v>126</v>
      </c>
      <c r="H35" s="2" t="str">
        <f>"2012"</f>
        <v>2012</v>
      </c>
      <c r="I35" t="s">
        <v>14</v>
      </c>
      <c r="J35" t="s">
        <v>15</v>
      </c>
    </row>
    <row r="36" spans="1:10">
      <c r="A36" s="2" t="str">
        <f>"33"</f>
        <v>33</v>
      </c>
      <c r="B36" s="2" t="s">
        <v>9</v>
      </c>
      <c r="C36" s="2" t="str">
        <f>"1 (1)"</f>
        <v>1 (1)</v>
      </c>
      <c r="D36" s="2" t="s">
        <v>127</v>
      </c>
      <c r="E36" s="5" t="s">
        <v>128</v>
      </c>
      <c r="F36" s="3" t="s">
        <v>129</v>
      </c>
      <c r="G36" s="3" t="s">
        <v>130</v>
      </c>
      <c r="H36" s="2" t="str">
        <f>"2012"</f>
        <v>2012</v>
      </c>
      <c r="I36" t="s">
        <v>14</v>
      </c>
      <c r="J36" t="s">
        <v>15</v>
      </c>
    </row>
    <row r="37" spans="1:10">
      <c r="A37" s="2" t="str">
        <f>"34"</f>
        <v>34</v>
      </c>
      <c r="B37" s="2" t="s">
        <v>9</v>
      </c>
      <c r="C37" s="2" t="str">
        <f>"1 (1)"</f>
        <v>1 (1)</v>
      </c>
      <c r="D37" s="2" t="s">
        <v>131</v>
      </c>
      <c r="E37" s="5" t="s">
        <v>132</v>
      </c>
      <c r="F37" s="3" t="s">
        <v>133</v>
      </c>
      <c r="G37" s="3" t="s">
        <v>134</v>
      </c>
      <c r="H37" s="2" t="str">
        <f>"2012"</f>
        <v>2012</v>
      </c>
      <c r="I37" t="s">
        <v>14</v>
      </c>
      <c r="J37" t="s">
        <v>15</v>
      </c>
    </row>
    <row r="38" spans="1:10">
      <c r="A38" s="2" t="str">
        <f>"35"</f>
        <v>35</v>
      </c>
      <c r="B38" s="2" t="s">
        <v>9</v>
      </c>
      <c r="C38" s="2" t="str">
        <f>"1 (1)"</f>
        <v>1 (1)</v>
      </c>
      <c r="D38" s="2" t="s">
        <v>135</v>
      </c>
      <c r="E38" s="5" t="s">
        <v>136</v>
      </c>
      <c r="F38" s="3" t="s">
        <v>137</v>
      </c>
      <c r="G38" s="3" t="s">
        <v>138</v>
      </c>
      <c r="H38" s="2" t="str">
        <f>"2012"</f>
        <v>2012</v>
      </c>
      <c r="I38" t="s">
        <v>14</v>
      </c>
      <c r="J38" t="s">
        <v>15</v>
      </c>
    </row>
    <row r="39" spans="1:10">
      <c r="A39" s="2" t="str">
        <f>"36"</f>
        <v>36</v>
      </c>
      <c r="B39" s="2" t="s">
        <v>9</v>
      </c>
      <c r="C39" s="2" t="str">
        <f>"1 (1)"</f>
        <v>1 (1)</v>
      </c>
      <c r="D39" s="2" t="s">
        <v>139</v>
      </c>
      <c r="E39" s="5" t="s">
        <v>140</v>
      </c>
      <c r="F39" s="3" t="s">
        <v>141</v>
      </c>
      <c r="G39" s="3" t="s">
        <v>142</v>
      </c>
      <c r="H39" s="2" t="str">
        <f>"2012"</f>
        <v>2012</v>
      </c>
      <c r="I39" t="s">
        <v>14</v>
      </c>
      <c r="J39" t="s">
        <v>15</v>
      </c>
    </row>
    <row r="40" spans="1:10">
      <c r="A40" s="2" t="str">
        <f>"37"</f>
        <v>37</v>
      </c>
      <c r="B40" s="2" t="s">
        <v>9</v>
      </c>
      <c r="C40" s="2" t="str">
        <f>"1 (1)"</f>
        <v>1 (1)</v>
      </c>
      <c r="D40" s="2" t="s">
        <v>143</v>
      </c>
      <c r="E40" s="5" t="s">
        <v>144</v>
      </c>
      <c r="F40" s="3" t="s">
        <v>145</v>
      </c>
      <c r="G40" s="3" t="s">
        <v>146</v>
      </c>
      <c r="H40" s="2" t="str">
        <f>"2012"</f>
        <v>2012</v>
      </c>
      <c r="I40" t="s">
        <v>14</v>
      </c>
      <c r="J40" t="s">
        <v>15</v>
      </c>
    </row>
    <row r="41" spans="1:10">
      <c r="A41" s="2" t="str">
        <f>"38"</f>
        <v>38</v>
      </c>
      <c r="B41" s="2" t="s">
        <v>9</v>
      </c>
      <c r="C41" s="2" t="str">
        <f>"1 (1)"</f>
        <v>1 (1)</v>
      </c>
      <c r="D41" s="2" t="s">
        <v>147</v>
      </c>
      <c r="E41" s="5" t="s">
        <v>148</v>
      </c>
      <c r="F41" s="3" t="s">
        <v>149</v>
      </c>
      <c r="G41" s="3" t="s">
        <v>150</v>
      </c>
      <c r="H41" s="2" t="str">
        <f>"2012"</f>
        <v>2012</v>
      </c>
      <c r="I41" t="s">
        <v>14</v>
      </c>
      <c r="J41" t="s">
        <v>15</v>
      </c>
    </row>
    <row r="42" spans="1:10">
      <c r="A42" s="2" t="str">
        <f>"39"</f>
        <v>39</v>
      </c>
      <c r="B42" s="2" t="s">
        <v>9</v>
      </c>
      <c r="C42" s="2" t="str">
        <f>"1 (1)"</f>
        <v>1 (1)</v>
      </c>
      <c r="D42" s="2" t="s">
        <v>151</v>
      </c>
      <c r="E42" s="5" t="s">
        <v>152</v>
      </c>
      <c r="F42" s="3" t="s">
        <v>149</v>
      </c>
      <c r="G42" s="3" t="s">
        <v>150</v>
      </c>
      <c r="H42" s="2" t="str">
        <f>"2012"</f>
        <v>2012</v>
      </c>
      <c r="I42" t="s">
        <v>14</v>
      </c>
      <c r="J42" t="s">
        <v>15</v>
      </c>
    </row>
    <row r="43" spans="1:10">
      <c r="A43" s="2" t="str">
        <f>"40"</f>
        <v>40</v>
      </c>
      <c r="B43" s="2" t="s">
        <v>9</v>
      </c>
      <c r="C43" s="2" t="str">
        <f>"1 (1)"</f>
        <v>1 (1)</v>
      </c>
      <c r="D43" s="2" t="s">
        <v>153</v>
      </c>
      <c r="E43" s="5" t="s">
        <v>154</v>
      </c>
      <c r="F43" s="3" t="s">
        <v>155</v>
      </c>
      <c r="G43" s="3" t="s">
        <v>156</v>
      </c>
      <c r="H43" s="2" t="str">
        <f>"2012"</f>
        <v>2012</v>
      </c>
      <c r="I43" t="s">
        <v>14</v>
      </c>
      <c r="J43" t="s">
        <v>15</v>
      </c>
    </row>
    <row r="44" spans="1:10">
      <c r="A44" s="2" t="str">
        <f>"41"</f>
        <v>41</v>
      </c>
      <c r="B44" s="2" t="s">
        <v>9</v>
      </c>
      <c r="C44" s="2" t="str">
        <f>"1 (1)"</f>
        <v>1 (1)</v>
      </c>
      <c r="D44" s="2" t="s">
        <v>157</v>
      </c>
      <c r="E44" s="5" t="s">
        <v>158</v>
      </c>
      <c r="F44" s="3" t="s">
        <v>159</v>
      </c>
      <c r="G44" s="3" t="s">
        <v>160</v>
      </c>
      <c r="H44" s="2" t="str">
        <f>"2012"</f>
        <v>2012</v>
      </c>
      <c r="I44" t="s">
        <v>14</v>
      </c>
      <c r="J44" t="s">
        <v>15</v>
      </c>
    </row>
    <row r="45" spans="1:10">
      <c r="A45" s="2" t="str">
        <f>"42"</f>
        <v>42</v>
      </c>
      <c r="B45" s="2" t="s">
        <v>9</v>
      </c>
      <c r="C45" s="2" t="str">
        <f>"1 (1)"</f>
        <v>1 (1)</v>
      </c>
      <c r="D45" s="2" t="s">
        <v>161</v>
      </c>
      <c r="E45" s="5" t="s">
        <v>162</v>
      </c>
      <c r="F45" s="3" t="s">
        <v>163</v>
      </c>
      <c r="G45" s="3" t="s">
        <v>164</v>
      </c>
      <c r="H45" s="2" t="str">
        <f>"2012"</f>
        <v>2012</v>
      </c>
      <c r="I45" t="s">
        <v>14</v>
      </c>
      <c r="J45" t="s">
        <v>15</v>
      </c>
    </row>
    <row r="46" spans="1:10">
      <c r="A46" s="2" t="str">
        <f>"43"</f>
        <v>43</v>
      </c>
      <c r="B46" s="2" t="s">
        <v>9</v>
      </c>
      <c r="C46" s="2" t="str">
        <f>"1 (1)"</f>
        <v>1 (1)</v>
      </c>
      <c r="D46" s="2" t="s">
        <v>165</v>
      </c>
      <c r="E46" s="5" t="s">
        <v>166</v>
      </c>
      <c r="F46" s="3" t="s">
        <v>167</v>
      </c>
      <c r="G46" s="3" t="s">
        <v>164</v>
      </c>
      <c r="H46" s="2" t="str">
        <f>"2012"</f>
        <v>2012</v>
      </c>
      <c r="I46" t="s">
        <v>14</v>
      </c>
      <c r="J46" t="s">
        <v>15</v>
      </c>
    </row>
    <row r="47" spans="1:10">
      <c r="A47" s="2" t="str">
        <f>"44"</f>
        <v>44</v>
      </c>
      <c r="B47" s="2" t="s">
        <v>9</v>
      </c>
      <c r="C47" s="2" t="str">
        <f>"1 (1)"</f>
        <v>1 (1)</v>
      </c>
      <c r="D47" s="2" t="s">
        <v>168</v>
      </c>
      <c r="E47" s="5" t="s">
        <v>169</v>
      </c>
      <c r="F47" s="3" t="s">
        <v>170</v>
      </c>
      <c r="G47" s="3" t="s">
        <v>171</v>
      </c>
      <c r="H47" s="2" t="str">
        <f>"2011"</f>
        <v>2011</v>
      </c>
      <c r="I47" t="s">
        <v>14</v>
      </c>
      <c r="J47" t="s">
        <v>15</v>
      </c>
    </row>
    <row r="48" spans="1:10">
      <c r="A48" s="2" t="str">
        <f>"45"</f>
        <v>45</v>
      </c>
      <c r="B48" s="2" t="s">
        <v>9</v>
      </c>
      <c r="C48" s="2" t="str">
        <f>"1 (1)"</f>
        <v>1 (1)</v>
      </c>
      <c r="D48" s="2" t="s">
        <v>172</v>
      </c>
      <c r="E48" s="5" t="s">
        <v>173</v>
      </c>
      <c r="F48" s="3" t="s">
        <v>170</v>
      </c>
      <c r="G48" s="3" t="s">
        <v>171</v>
      </c>
      <c r="H48" s="2" t="str">
        <f>"2011"</f>
        <v>2011</v>
      </c>
      <c r="I48" t="s">
        <v>14</v>
      </c>
      <c r="J48" t="s">
        <v>15</v>
      </c>
    </row>
    <row r="49" spans="1:10">
      <c r="A49" s="2" t="str">
        <f>"46"</f>
        <v>46</v>
      </c>
      <c r="B49" s="2" t="s">
        <v>9</v>
      </c>
      <c r="C49" s="2" t="str">
        <f>"1 (1)"</f>
        <v>1 (1)</v>
      </c>
      <c r="D49" s="2" t="s">
        <v>174</v>
      </c>
      <c r="E49" s="5" t="s">
        <v>175</v>
      </c>
      <c r="F49" s="3" t="s">
        <v>176</v>
      </c>
      <c r="G49" s="3" t="s">
        <v>171</v>
      </c>
      <c r="H49" s="2" t="str">
        <f>"2011"</f>
        <v>2011</v>
      </c>
      <c r="I49" t="s">
        <v>14</v>
      </c>
      <c r="J49" t="s">
        <v>15</v>
      </c>
    </row>
    <row r="50" spans="1:10">
      <c r="A50" s="2" t="str">
        <f>"47"</f>
        <v>47</v>
      </c>
      <c r="B50" s="2" t="s">
        <v>9</v>
      </c>
      <c r="C50" s="2" t="str">
        <f>"1 (1)"</f>
        <v>1 (1)</v>
      </c>
      <c r="D50" s="2" t="s">
        <v>177</v>
      </c>
      <c r="E50" s="5" t="s">
        <v>178</v>
      </c>
      <c r="F50" s="3" t="s">
        <v>179</v>
      </c>
      <c r="G50" s="3" t="s">
        <v>171</v>
      </c>
      <c r="H50" s="2" t="str">
        <f>"2011"</f>
        <v>2011</v>
      </c>
      <c r="I50" t="s">
        <v>14</v>
      </c>
      <c r="J50" t="s">
        <v>15</v>
      </c>
    </row>
    <row r="51" spans="1:10">
      <c r="A51" s="2" t="str">
        <f>"48"</f>
        <v>48</v>
      </c>
      <c r="B51" s="2" t="s">
        <v>9</v>
      </c>
      <c r="C51" s="2" t="str">
        <f>"1 (1)"</f>
        <v>1 (1)</v>
      </c>
      <c r="D51" s="2" t="s">
        <v>180</v>
      </c>
      <c r="E51" s="5" t="s">
        <v>181</v>
      </c>
      <c r="F51" s="3" t="s">
        <v>182</v>
      </c>
      <c r="G51" s="3" t="s">
        <v>171</v>
      </c>
      <c r="H51" s="2" t="str">
        <f>"2011"</f>
        <v>2011</v>
      </c>
      <c r="I51" t="s">
        <v>14</v>
      </c>
      <c r="J51" t="s">
        <v>15</v>
      </c>
    </row>
    <row r="52" spans="1:10">
      <c r="A52" s="2" t="str">
        <f>"49"</f>
        <v>49</v>
      </c>
      <c r="B52" s="2" t="s">
        <v>9</v>
      </c>
      <c r="C52" s="2" t="str">
        <f>"1 (1)"</f>
        <v>1 (1)</v>
      </c>
      <c r="D52" s="2" t="s">
        <v>183</v>
      </c>
      <c r="E52" s="5" t="s">
        <v>184</v>
      </c>
      <c r="F52" s="3" t="s">
        <v>185</v>
      </c>
      <c r="G52" s="3" t="s">
        <v>171</v>
      </c>
      <c r="H52" s="2" t="str">
        <f>"2011"</f>
        <v>2011</v>
      </c>
      <c r="I52" t="s">
        <v>14</v>
      </c>
      <c r="J52" t="s">
        <v>15</v>
      </c>
    </row>
    <row r="53" spans="1:10">
      <c r="A53" s="2" t="str">
        <f>"50"</f>
        <v>50</v>
      </c>
      <c r="B53" s="2" t="s">
        <v>9</v>
      </c>
      <c r="C53" s="2" t="str">
        <f>"1 (1)"</f>
        <v>1 (1)</v>
      </c>
      <c r="D53" s="2" t="s">
        <v>186</v>
      </c>
      <c r="E53" s="5" t="s">
        <v>187</v>
      </c>
      <c r="F53" s="3" t="s">
        <v>188</v>
      </c>
      <c r="G53" s="3" t="s">
        <v>171</v>
      </c>
      <c r="H53" s="2" t="str">
        <f>"2011"</f>
        <v>2011</v>
      </c>
      <c r="I53" t="s">
        <v>14</v>
      </c>
      <c r="J53" t="s">
        <v>15</v>
      </c>
    </row>
    <row r="54" spans="1:10">
      <c r="A54" s="2" t="str">
        <f>"51"</f>
        <v>51</v>
      </c>
      <c r="B54" s="2" t="s">
        <v>9</v>
      </c>
      <c r="C54" s="2" t="str">
        <f>"1 (1)"</f>
        <v>1 (1)</v>
      </c>
      <c r="D54" s="2" t="s">
        <v>189</v>
      </c>
      <c r="E54" s="5" t="s">
        <v>190</v>
      </c>
      <c r="F54" s="3" t="s">
        <v>191</v>
      </c>
      <c r="G54" s="3" t="s">
        <v>171</v>
      </c>
      <c r="H54" s="2" t="str">
        <f>"2011"</f>
        <v>2011</v>
      </c>
      <c r="I54" t="s">
        <v>14</v>
      </c>
      <c r="J54" t="s">
        <v>15</v>
      </c>
    </row>
    <row r="55" spans="1:10">
      <c r="A55" s="2" t="str">
        <f>"52"</f>
        <v>52</v>
      </c>
      <c r="B55" s="2" t="s">
        <v>9</v>
      </c>
      <c r="C55" s="2" t="str">
        <f>"1 (1)"</f>
        <v>1 (1)</v>
      </c>
      <c r="D55" s="2" t="s">
        <v>192</v>
      </c>
      <c r="E55" s="5" t="s">
        <v>193</v>
      </c>
      <c r="F55" s="3" t="s">
        <v>194</v>
      </c>
      <c r="G55" s="3" t="s">
        <v>171</v>
      </c>
      <c r="H55" s="2" t="str">
        <f>"2011"</f>
        <v>2011</v>
      </c>
      <c r="I55" t="s">
        <v>14</v>
      </c>
      <c r="J55" t="s">
        <v>15</v>
      </c>
    </row>
    <row r="56" spans="1:10">
      <c r="A56" s="2" t="str">
        <f>"53"</f>
        <v>53</v>
      </c>
      <c r="B56" s="2" t="s">
        <v>9</v>
      </c>
      <c r="C56" s="2" t="str">
        <f>"1 (1)"</f>
        <v>1 (1)</v>
      </c>
      <c r="D56" s="2" t="s">
        <v>195</v>
      </c>
      <c r="E56" s="5" t="s">
        <v>196</v>
      </c>
      <c r="F56" s="3" t="s">
        <v>197</v>
      </c>
      <c r="G56" s="3" t="s">
        <v>171</v>
      </c>
      <c r="H56" s="2" t="str">
        <f>"2011"</f>
        <v>2011</v>
      </c>
      <c r="I56" t="s">
        <v>14</v>
      </c>
      <c r="J56" t="s">
        <v>15</v>
      </c>
    </row>
    <row r="57" spans="1:10">
      <c r="A57" s="2" t="str">
        <f>"54"</f>
        <v>54</v>
      </c>
      <c r="B57" s="2" t="s">
        <v>9</v>
      </c>
      <c r="C57" s="2" t="str">
        <f>"1 (1)"</f>
        <v>1 (1)</v>
      </c>
      <c r="D57" s="2" t="s">
        <v>198</v>
      </c>
      <c r="E57" s="5" t="s">
        <v>199</v>
      </c>
      <c r="F57" s="3" t="s">
        <v>200</v>
      </c>
      <c r="G57" s="3" t="s">
        <v>171</v>
      </c>
      <c r="H57" s="2" t="str">
        <f>"2011"</f>
        <v>2011</v>
      </c>
      <c r="I57" t="s">
        <v>14</v>
      </c>
      <c r="J57" t="s">
        <v>15</v>
      </c>
    </row>
    <row r="58" spans="1:10">
      <c r="A58" s="2" t="str">
        <f>"55"</f>
        <v>55</v>
      </c>
      <c r="B58" s="2" t="s">
        <v>9</v>
      </c>
      <c r="C58" s="2" t="str">
        <f>"1 (1)"</f>
        <v>1 (1)</v>
      </c>
      <c r="D58" s="2" t="s">
        <v>201</v>
      </c>
      <c r="E58" s="5" t="s">
        <v>202</v>
      </c>
      <c r="F58" s="3" t="s">
        <v>203</v>
      </c>
      <c r="G58" s="3" t="s">
        <v>171</v>
      </c>
      <c r="H58" s="2" t="str">
        <f>"2011"</f>
        <v>2011</v>
      </c>
      <c r="I58" t="s">
        <v>14</v>
      </c>
      <c r="J58" t="s">
        <v>15</v>
      </c>
    </row>
    <row r="59" spans="1:10">
      <c r="A59" s="2" t="str">
        <f>"56"</f>
        <v>56</v>
      </c>
      <c r="B59" s="2" t="s">
        <v>9</v>
      </c>
      <c r="C59" s="2" t="str">
        <f>"1 (1)"</f>
        <v>1 (1)</v>
      </c>
      <c r="D59" s="2" t="s">
        <v>204</v>
      </c>
      <c r="E59" s="5" t="s">
        <v>205</v>
      </c>
      <c r="F59" s="3" t="s">
        <v>206</v>
      </c>
      <c r="G59" s="3" t="s">
        <v>171</v>
      </c>
      <c r="H59" s="2" t="str">
        <f>"2011"</f>
        <v>2011</v>
      </c>
      <c r="I59" t="s">
        <v>14</v>
      </c>
      <c r="J59" t="s">
        <v>15</v>
      </c>
    </row>
    <row r="60" spans="1:10">
      <c r="A60" s="2" t="str">
        <f>"57"</f>
        <v>57</v>
      </c>
      <c r="B60" s="2" t="s">
        <v>9</v>
      </c>
      <c r="C60" s="2" t="str">
        <f>"1 (1)"</f>
        <v>1 (1)</v>
      </c>
      <c r="D60" s="2" t="s">
        <v>207</v>
      </c>
      <c r="E60" s="5" t="s">
        <v>208</v>
      </c>
      <c r="F60" s="3" t="s">
        <v>209</v>
      </c>
      <c r="G60" s="3" t="s">
        <v>171</v>
      </c>
      <c r="H60" s="2" t="str">
        <f>"2011"</f>
        <v>2011</v>
      </c>
      <c r="I60" t="s">
        <v>14</v>
      </c>
      <c r="J60" t="s">
        <v>15</v>
      </c>
    </row>
    <row r="61" spans="1:10">
      <c r="A61" s="2" t="str">
        <f>"58"</f>
        <v>58</v>
      </c>
      <c r="B61" s="2" t="s">
        <v>9</v>
      </c>
      <c r="C61" s="2" t="str">
        <f>"1 (1)"</f>
        <v>1 (1)</v>
      </c>
      <c r="D61" s="2" t="s">
        <v>210</v>
      </c>
      <c r="E61" s="5" t="s">
        <v>211</v>
      </c>
      <c r="F61" s="3" t="s">
        <v>188</v>
      </c>
      <c r="G61" s="3" t="s">
        <v>171</v>
      </c>
      <c r="H61" s="2" t="str">
        <f>"2011"</f>
        <v>2011</v>
      </c>
      <c r="I61" t="s">
        <v>14</v>
      </c>
      <c r="J61" t="s">
        <v>15</v>
      </c>
    </row>
    <row r="62" spans="1:10">
      <c r="A62" s="2" t="str">
        <f>"59"</f>
        <v>59</v>
      </c>
      <c r="B62" s="2" t="s">
        <v>9</v>
      </c>
      <c r="C62" s="2" t="str">
        <f>"1 (1)"</f>
        <v>1 (1)</v>
      </c>
      <c r="D62" s="2" t="s">
        <v>212</v>
      </c>
      <c r="E62" s="5" t="s">
        <v>213</v>
      </c>
      <c r="F62" s="3" t="s">
        <v>188</v>
      </c>
      <c r="G62" s="3" t="s">
        <v>171</v>
      </c>
      <c r="H62" s="2" t="str">
        <f>"2012"</f>
        <v>2012</v>
      </c>
      <c r="I62" t="s">
        <v>14</v>
      </c>
      <c r="J62" t="s">
        <v>15</v>
      </c>
    </row>
    <row r="63" spans="1:10">
      <c r="A63" s="2" t="str">
        <f>"60"</f>
        <v>60</v>
      </c>
      <c r="B63" s="2" t="s">
        <v>9</v>
      </c>
      <c r="C63" s="2" t="str">
        <f>"1 (1)"</f>
        <v>1 (1)</v>
      </c>
      <c r="D63" s="2" t="s">
        <v>214</v>
      </c>
      <c r="E63" s="5" t="s">
        <v>215</v>
      </c>
      <c r="F63" s="3" t="s">
        <v>216</v>
      </c>
      <c r="G63" s="3" t="s">
        <v>171</v>
      </c>
      <c r="H63" s="2" t="str">
        <f>"2012"</f>
        <v>2012</v>
      </c>
      <c r="I63" t="s">
        <v>14</v>
      </c>
      <c r="J63" t="s">
        <v>15</v>
      </c>
    </row>
    <row r="64" spans="1:10">
      <c r="A64" s="2" t="str">
        <f>"61"</f>
        <v>61</v>
      </c>
      <c r="B64" s="2" t="s">
        <v>9</v>
      </c>
      <c r="C64" s="2" t="str">
        <f>"1 (1)"</f>
        <v>1 (1)</v>
      </c>
      <c r="D64" s="2" t="s">
        <v>217</v>
      </c>
      <c r="E64" s="5" t="s">
        <v>218</v>
      </c>
      <c r="F64" s="3" t="s">
        <v>219</v>
      </c>
      <c r="G64" s="3" t="s">
        <v>171</v>
      </c>
      <c r="H64" s="2" t="str">
        <f>"2012"</f>
        <v>2012</v>
      </c>
      <c r="I64" t="s">
        <v>14</v>
      </c>
      <c r="J64" t="s">
        <v>15</v>
      </c>
    </row>
    <row r="65" spans="1:10">
      <c r="A65" s="2" t="str">
        <f>"62"</f>
        <v>62</v>
      </c>
      <c r="B65" s="2" t="s">
        <v>9</v>
      </c>
      <c r="C65" s="2" t="str">
        <f>"1 (1)"</f>
        <v>1 (1)</v>
      </c>
      <c r="D65" s="2" t="s">
        <v>220</v>
      </c>
      <c r="E65" s="5" t="s">
        <v>221</v>
      </c>
      <c r="F65" s="3" t="s">
        <v>222</v>
      </c>
      <c r="G65" s="3" t="s">
        <v>171</v>
      </c>
      <c r="H65" s="2" t="str">
        <f>"2012"</f>
        <v>2012</v>
      </c>
      <c r="I65" t="s">
        <v>14</v>
      </c>
      <c r="J65" t="s">
        <v>15</v>
      </c>
    </row>
    <row r="66" spans="1:10">
      <c r="A66" s="2" t="str">
        <f>"63"</f>
        <v>63</v>
      </c>
      <c r="B66" s="2" t="s">
        <v>9</v>
      </c>
      <c r="C66" s="2" t="str">
        <f>"1 (1)"</f>
        <v>1 (1)</v>
      </c>
      <c r="D66" s="2" t="s">
        <v>223</v>
      </c>
      <c r="E66" s="5" t="s">
        <v>224</v>
      </c>
      <c r="F66" s="3" t="s">
        <v>219</v>
      </c>
      <c r="G66" s="3" t="s">
        <v>171</v>
      </c>
      <c r="H66" s="2" t="str">
        <f>"2012"</f>
        <v>2012</v>
      </c>
      <c r="I66" t="s">
        <v>14</v>
      </c>
      <c r="J66" t="s">
        <v>15</v>
      </c>
    </row>
    <row r="67" spans="1:10">
      <c r="A67" s="2" t="str">
        <f>"64"</f>
        <v>64</v>
      </c>
      <c r="B67" s="2" t="s">
        <v>9</v>
      </c>
      <c r="C67" s="2" t="str">
        <f>"1 (1)"</f>
        <v>1 (1)</v>
      </c>
      <c r="D67" s="2" t="s">
        <v>225</v>
      </c>
      <c r="E67" s="5" t="s">
        <v>226</v>
      </c>
      <c r="F67" s="3" t="s">
        <v>188</v>
      </c>
      <c r="G67" s="3" t="s">
        <v>171</v>
      </c>
      <c r="H67" s="2" t="str">
        <f>"2012"</f>
        <v>2012</v>
      </c>
      <c r="I67" t="s">
        <v>14</v>
      </c>
      <c r="J67" t="s">
        <v>15</v>
      </c>
    </row>
    <row r="68" spans="1:10">
      <c r="A68" s="2" t="str">
        <f>"65"</f>
        <v>65</v>
      </c>
      <c r="B68" s="2" t="s">
        <v>9</v>
      </c>
      <c r="C68" s="2" t="str">
        <f>"1 (1)"</f>
        <v>1 (1)</v>
      </c>
      <c r="D68" s="2" t="s">
        <v>227</v>
      </c>
      <c r="E68" s="5" t="s">
        <v>228</v>
      </c>
      <c r="F68" s="3" t="s">
        <v>216</v>
      </c>
      <c r="G68" s="3" t="s">
        <v>171</v>
      </c>
      <c r="H68" s="2" t="str">
        <f>"2012"</f>
        <v>2012</v>
      </c>
      <c r="I68" t="s">
        <v>14</v>
      </c>
      <c r="J68" t="s">
        <v>15</v>
      </c>
    </row>
    <row r="69" spans="1:10">
      <c r="A69" s="2" t="str">
        <f>"66"</f>
        <v>66</v>
      </c>
      <c r="B69" s="2" t="s">
        <v>9</v>
      </c>
      <c r="C69" s="2" t="str">
        <f>"1 (1)"</f>
        <v>1 (1)</v>
      </c>
      <c r="D69" s="2" t="s">
        <v>229</v>
      </c>
      <c r="E69" s="5" t="s">
        <v>230</v>
      </c>
      <c r="F69" s="3" t="s">
        <v>231</v>
      </c>
      <c r="G69" s="3" t="s">
        <v>171</v>
      </c>
      <c r="H69" s="2" t="str">
        <f>"2012"</f>
        <v>2012</v>
      </c>
      <c r="I69" t="s">
        <v>14</v>
      </c>
      <c r="J69" t="s">
        <v>15</v>
      </c>
    </row>
    <row r="70" spans="1:10">
      <c r="A70" s="2" t="str">
        <f>"67"</f>
        <v>67</v>
      </c>
      <c r="B70" s="2" t="s">
        <v>9</v>
      </c>
      <c r="C70" s="2" t="str">
        <f>"1 (1)"</f>
        <v>1 (1)</v>
      </c>
      <c r="D70" s="2" t="s">
        <v>232</v>
      </c>
      <c r="E70" s="5" t="s">
        <v>233</v>
      </c>
      <c r="F70" s="3" t="s">
        <v>234</v>
      </c>
      <c r="G70" s="3" t="s">
        <v>171</v>
      </c>
      <c r="H70" s="2" t="str">
        <f>"2012"</f>
        <v>2012</v>
      </c>
      <c r="I70" t="s">
        <v>14</v>
      </c>
      <c r="J70" t="s">
        <v>15</v>
      </c>
    </row>
    <row r="71" spans="1:10">
      <c r="A71" s="2" t="str">
        <f>"68"</f>
        <v>68</v>
      </c>
      <c r="B71" s="2" t="s">
        <v>9</v>
      </c>
      <c r="C71" s="2" t="str">
        <f>"1 (1)"</f>
        <v>1 (1)</v>
      </c>
      <c r="D71" s="2" t="s">
        <v>235</v>
      </c>
      <c r="E71" s="5" t="s">
        <v>236</v>
      </c>
      <c r="F71" s="3" t="s">
        <v>237</v>
      </c>
      <c r="G71" s="3" t="s">
        <v>171</v>
      </c>
      <c r="H71" s="2" t="str">
        <f>"2012"</f>
        <v>2012</v>
      </c>
      <c r="I71" t="s">
        <v>14</v>
      </c>
      <c r="J71" t="s">
        <v>15</v>
      </c>
    </row>
    <row r="72" spans="1:10">
      <c r="A72" s="2" t="str">
        <f>"69"</f>
        <v>69</v>
      </c>
      <c r="B72" s="2" t="s">
        <v>9</v>
      </c>
      <c r="C72" s="2" t="str">
        <f>"1 (1)"</f>
        <v>1 (1)</v>
      </c>
      <c r="D72" s="2" t="s">
        <v>238</v>
      </c>
      <c r="E72" s="5" t="s">
        <v>239</v>
      </c>
      <c r="F72" s="3" t="s">
        <v>240</v>
      </c>
      <c r="G72" s="3" t="s">
        <v>171</v>
      </c>
      <c r="H72" s="2" t="str">
        <f>"2012"</f>
        <v>2012</v>
      </c>
      <c r="I72" t="s">
        <v>14</v>
      </c>
      <c r="J72" t="s">
        <v>15</v>
      </c>
    </row>
    <row r="73" spans="1:10">
      <c r="A73" s="2" t="str">
        <f>"70"</f>
        <v>70</v>
      </c>
      <c r="B73" s="2" t="s">
        <v>9</v>
      </c>
      <c r="C73" s="2" t="str">
        <f>"1 (1)"</f>
        <v>1 (1)</v>
      </c>
      <c r="D73" s="2" t="s">
        <v>241</v>
      </c>
      <c r="E73" s="5" t="s">
        <v>242</v>
      </c>
      <c r="F73" s="3" t="s">
        <v>243</v>
      </c>
      <c r="G73" s="3" t="s">
        <v>171</v>
      </c>
      <c r="H73" s="2" t="str">
        <f>"2012"</f>
        <v>2012</v>
      </c>
      <c r="I73" t="s">
        <v>14</v>
      </c>
      <c r="J73" t="s">
        <v>15</v>
      </c>
    </row>
    <row r="74" spans="1:10">
      <c r="A74" s="2" t="str">
        <f>"71"</f>
        <v>71</v>
      </c>
      <c r="B74" s="2" t="s">
        <v>9</v>
      </c>
      <c r="C74" s="2" t="str">
        <f>"1 (1)"</f>
        <v>1 (1)</v>
      </c>
      <c r="D74" s="2" t="s">
        <v>244</v>
      </c>
      <c r="E74" s="5" t="s">
        <v>245</v>
      </c>
      <c r="F74" s="3" t="s">
        <v>188</v>
      </c>
      <c r="G74" s="3" t="s">
        <v>171</v>
      </c>
      <c r="H74" s="2" t="str">
        <f>"2012"</f>
        <v>2012</v>
      </c>
      <c r="I74" t="s">
        <v>14</v>
      </c>
      <c r="J74" t="s">
        <v>15</v>
      </c>
    </row>
    <row r="75" spans="1:10">
      <c r="A75" s="2" t="str">
        <f>"72"</f>
        <v>72</v>
      </c>
      <c r="B75" s="2" t="s">
        <v>9</v>
      </c>
      <c r="C75" s="2" t="str">
        <f>"1 (1)"</f>
        <v>1 (1)</v>
      </c>
      <c r="D75" s="2" t="s">
        <v>246</v>
      </c>
      <c r="E75" s="5" t="s">
        <v>247</v>
      </c>
      <c r="F75" s="3" t="s">
        <v>188</v>
      </c>
      <c r="G75" s="3" t="s">
        <v>171</v>
      </c>
      <c r="H75" s="2" t="str">
        <f>"2012"</f>
        <v>2012</v>
      </c>
      <c r="I75" t="s">
        <v>14</v>
      </c>
      <c r="J75" t="s">
        <v>15</v>
      </c>
    </row>
    <row r="76" spans="1:10">
      <c r="A76" s="2" t="str">
        <f>"73"</f>
        <v>73</v>
      </c>
      <c r="B76" s="2" t="s">
        <v>9</v>
      </c>
      <c r="C76" s="2" t="str">
        <f>"1 (1)"</f>
        <v>1 (1)</v>
      </c>
      <c r="D76" s="2" t="s">
        <v>248</v>
      </c>
      <c r="E76" s="5" t="s">
        <v>249</v>
      </c>
      <c r="F76" s="3" t="s">
        <v>188</v>
      </c>
      <c r="G76" s="3" t="s">
        <v>171</v>
      </c>
      <c r="H76" s="2" t="str">
        <f>"2012"</f>
        <v>2012</v>
      </c>
      <c r="I76" t="s">
        <v>14</v>
      </c>
      <c r="J76" t="s">
        <v>15</v>
      </c>
    </row>
    <row r="77" spans="1:10">
      <c r="A77" s="2" t="str">
        <f>"74"</f>
        <v>74</v>
      </c>
      <c r="B77" s="2" t="s">
        <v>9</v>
      </c>
      <c r="C77" s="2" t="str">
        <f>"1 (1)"</f>
        <v>1 (1)</v>
      </c>
      <c r="D77" s="2" t="s">
        <v>250</v>
      </c>
      <c r="E77" s="5" t="s">
        <v>251</v>
      </c>
      <c r="F77" s="3" t="s">
        <v>252</v>
      </c>
      <c r="G77" s="3" t="s">
        <v>253</v>
      </c>
      <c r="H77" s="2" t="str">
        <f>"2012"</f>
        <v>2012</v>
      </c>
      <c r="I77" t="s">
        <v>14</v>
      </c>
      <c r="J77" t="s">
        <v>15</v>
      </c>
    </row>
    <row r="78" spans="1:10">
      <c r="A78" s="2" t="str">
        <f>"75"</f>
        <v>75</v>
      </c>
      <c r="B78" s="2" t="s">
        <v>9</v>
      </c>
      <c r="C78" s="2" t="str">
        <f>"1 (1)"</f>
        <v>1 (1)</v>
      </c>
      <c r="D78" s="2" t="s">
        <v>254</v>
      </c>
      <c r="E78" s="5" t="s">
        <v>255</v>
      </c>
      <c r="F78" s="3" t="s">
        <v>256</v>
      </c>
      <c r="G78" s="3" t="s">
        <v>257</v>
      </c>
      <c r="H78" s="2" t="str">
        <f>"2012"</f>
        <v>2012</v>
      </c>
      <c r="I78" t="s">
        <v>14</v>
      </c>
      <c r="J78" t="s">
        <v>15</v>
      </c>
    </row>
    <row r="79" spans="1:10">
      <c r="A79" s="2" t="str">
        <f>"76"</f>
        <v>76</v>
      </c>
      <c r="B79" s="2" t="s">
        <v>9</v>
      </c>
      <c r="C79" s="2" t="str">
        <f>"1 (1)"</f>
        <v>1 (1)</v>
      </c>
      <c r="D79" s="2" t="s">
        <v>258</v>
      </c>
      <c r="E79" s="5" t="s">
        <v>259</v>
      </c>
      <c r="F79" s="3" t="s">
        <v>260</v>
      </c>
      <c r="G79" s="3" t="s">
        <v>257</v>
      </c>
      <c r="H79" s="2" t="str">
        <f>"2012"</f>
        <v>2012</v>
      </c>
      <c r="I79" t="s">
        <v>14</v>
      </c>
      <c r="J79" t="s">
        <v>15</v>
      </c>
    </row>
    <row r="80" spans="1:10">
      <c r="A80" s="2" t="str">
        <f>"77"</f>
        <v>77</v>
      </c>
      <c r="B80" s="2" t="s">
        <v>9</v>
      </c>
      <c r="C80" s="2" t="str">
        <f>"1 (1)"</f>
        <v>1 (1)</v>
      </c>
      <c r="D80" s="2" t="s">
        <v>261</v>
      </c>
      <c r="E80" s="5" t="s">
        <v>262</v>
      </c>
      <c r="F80" s="3" t="s">
        <v>263</v>
      </c>
      <c r="G80" s="3" t="s">
        <v>257</v>
      </c>
      <c r="H80" s="2" t="str">
        <f>"2012"</f>
        <v>2012</v>
      </c>
      <c r="I80" t="s">
        <v>14</v>
      </c>
      <c r="J80" t="s">
        <v>15</v>
      </c>
    </row>
    <row r="81" spans="1:10">
      <c r="A81" s="2" t="str">
        <f>"78"</f>
        <v>78</v>
      </c>
      <c r="B81" s="2" t="s">
        <v>9</v>
      </c>
      <c r="C81" s="2" t="str">
        <f>"1 (1)"</f>
        <v>1 (1)</v>
      </c>
      <c r="D81" s="2" t="s">
        <v>264</v>
      </c>
      <c r="E81" s="5" t="s">
        <v>265</v>
      </c>
      <c r="F81" s="3" t="s">
        <v>266</v>
      </c>
      <c r="G81" s="3" t="s">
        <v>257</v>
      </c>
      <c r="H81" s="2" t="str">
        <f>"2012"</f>
        <v>2012</v>
      </c>
      <c r="I81" t="s">
        <v>14</v>
      </c>
      <c r="J81" t="s">
        <v>15</v>
      </c>
    </row>
    <row r="82" spans="1:10">
      <c r="A82" s="2" t="str">
        <f>"79"</f>
        <v>79</v>
      </c>
      <c r="B82" s="2" t="s">
        <v>9</v>
      </c>
      <c r="C82" s="2" t="str">
        <f>"1 (1)"</f>
        <v>1 (1)</v>
      </c>
      <c r="D82" s="2" t="s">
        <v>267</v>
      </c>
      <c r="E82" s="5" t="s">
        <v>268</v>
      </c>
      <c r="F82" s="3" t="s">
        <v>269</v>
      </c>
      <c r="G82" s="3" t="s">
        <v>257</v>
      </c>
      <c r="H82" s="2" t="str">
        <f>"2012"</f>
        <v>2012</v>
      </c>
      <c r="I82" t="s">
        <v>14</v>
      </c>
      <c r="J82" t="s">
        <v>15</v>
      </c>
    </row>
    <row r="83" spans="1:10">
      <c r="A83" s="2" t="str">
        <f>"80"</f>
        <v>80</v>
      </c>
      <c r="B83" s="2" t="s">
        <v>9</v>
      </c>
      <c r="C83" s="2" t="str">
        <f>"1 (1)"</f>
        <v>1 (1)</v>
      </c>
      <c r="D83" s="2" t="s">
        <v>270</v>
      </c>
      <c r="E83" s="5" t="s">
        <v>271</v>
      </c>
      <c r="F83" s="3" t="s">
        <v>272</v>
      </c>
      <c r="G83" s="3" t="s">
        <v>257</v>
      </c>
      <c r="H83" s="2" t="str">
        <f>"2012"</f>
        <v>2012</v>
      </c>
      <c r="I83" t="s">
        <v>14</v>
      </c>
      <c r="J83" t="s">
        <v>15</v>
      </c>
    </row>
    <row r="84" spans="1:10">
      <c r="A84" s="2" t="str">
        <f>"81"</f>
        <v>81</v>
      </c>
      <c r="B84" s="2" t="s">
        <v>9</v>
      </c>
      <c r="C84" s="2" t="str">
        <f>"1 (1)"</f>
        <v>1 (1)</v>
      </c>
      <c r="D84" s="2" t="s">
        <v>273</v>
      </c>
      <c r="E84" s="5" t="s">
        <v>274</v>
      </c>
      <c r="F84" s="3" t="s">
        <v>275</v>
      </c>
      <c r="G84" s="3" t="s">
        <v>257</v>
      </c>
      <c r="H84" s="2" t="str">
        <f>"2012"</f>
        <v>2012</v>
      </c>
      <c r="I84" t="s">
        <v>14</v>
      </c>
      <c r="J84" t="s">
        <v>15</v>
      </c>
    </row>
    <row r="85" spans="1:10">
      <c r="A85" s="2" t="str">
        <f>"82"</f>
        <v>82</v>
      </c>
      <c r="B85" s="2" t="s">
        <v>9</v>
      </c>
      <c r="C85" s="2" t="str">
        <f>"1 (1)"</f>
        <v>1 (1)</v>
      </c>
      <c r="D85" s="2" t="s">
        <v>276</v>
      </c>
      <c r="E85" s="5" t="s">
        <v>277</v>
      </c>
      <c r="F85" s="3" t="s">
        <v>278</v>
      </c>
      <c r="G85" s="3" t="s">
        <v>279</v>
      </c>
      <c r="H85" s="2" t="str">
        <f>"2012"</f>
        <v>2012</v>
      </c>
      <c r="I85" t="s">
        <v>14</v>
      </c>
      <c r="J85" t="s">
        <v>15</v>
      </c>
    </row>
    <row r="86" spans="1:10">
      <c r="A86" s="2" t="str">
        <f>"83"</f>
        <v>83</v>
      </c>
      <c r="B86" s="2" t="s">
        <v>9</v>
      </c>
      <c r="C86" s="2" t="str">
        <f>"1 (1)"</f>
        <v>1 (1)</v>
      </c>
      <c r="D86" s="2" t="s">
        <v>280</v>
      </c>
      <c r="E86" s="5" t="s">
        <v>281</v>
      </c>
      <c r="F86" s="3" t="s">
        <v>282</v>
      </c>
      <c r="G86" s="3" t="s">
        <v>279</v>
      </c>
      <c r="H86" s="2" t="str">
        <f>"2012"</f>
        <v>2012</v>
      </c>
      <c r="I86" t="s">
        <v>14</v>
      </c>
      <c r="J86" t="s">
        <v>15</v>
      </c>
    </row>
    <row r="87" spans="1:10">
      <c r="A87" s="2" t="str">
        <f>"84"</f>
        <v>84</v>
      </c>
      <c r="B87" s="2" t="s">
        <v>9</v>
      </c>
      <c r="C87" s="2" t="str">
        <f>"1 (1)"</f>
        <v>1 (1)</v>
      </c>
      <c r="D87" s="2" t="s">
        <v>283</v>
      </c>
      <c r="E87" s="5" t="s">
        <v>284</v>
      </c>
      <c r="F87" s="3" t="s">
        <v>285</v>
      </c>
      <c r="G87" s="3" t="s">
        <v>279</v>
      </c>
      <c r="H87" s="2" t="str">
        <f>"2012"</f>
        <v>2012</v>
      </c>
      <c r="I87" t="s">
        <v>14</v>
      </c>
      <c r="J87" t="s">
        <v>15</v>
      </c>
    </row>
    <row r="88" spans="1:10">
      <c r="A88" s="2" t="str">
        <f>"85"</f>
        <v>85</v>
      </c>
      <c r="B88" s="2" t="s">
        <v>9</v>
      </c>
      <c r="C88" s="2" t="str">
        <f>"1 (1)"</f>
        <v>1 (1)</v>
      </c>
      <c r="D88" s="2" t="s">
        <v>286</v>
      </c>
      <c r="E88" s="5" t="s">
        <v>287</v>
      </c>
      <c r="F88" s="3" t="s">
        <v>288</v>
      </c>
      <c r="G88" s="3" t="s">
        <v>289</v>
      </c>
      <c r="H88" s="2" t="str">
        <f>"2010"</f>
        <v>2010</v>
      </c>
      <c r="I88" t="s">
        <v>14</v>
      </c>
      <c r="J88" t="s">
        <v>15</v>
      </c>
    </row>
    <row r="89" spans="1:10">
      <c r="A89" s="2" t="str">
        <f>"86"</f>
        <v>86</v>
      </c>
      <c r="B89" s="2" t="s">
        <v>9</v>
      </c>
      <c r="C89" s="2" t="str">
        <f>"1 (1)"</f>
        <v>1 (1)</v>
      </c>
      <c r="D89" s="2" t="s">
        <v>290</v>
      </c>
      <c r="E89" s="5" t="s">
        <v>291</v>
      </c>
      <c r="F89" s="3" t="s">
        <v>292</v>
      </c>
      <c r="G89" s="3" t="s">
        <v>289</v>
      </c>
      <c r="H89" s="2" t="str">
        <f>"2010"</f>
        <v>2010</v>
      </c>
      <c r="I89" t="s">
        <v>14</v>
      </c>
      <c r="J89" t="s">
        <v>15</v>
      </c>
    </row>
    <row r="90" spans="1:10">
      <c r="A90" s="2" t="str">
        <f>"87"</f>
        <v>87</v>
      </c>
      <c r="B90" s="2" t="s">
        <v>9</v>
      </c>
      <c r="C90" s="2" t="str">
        <f>"1 (1)"</f>
        <v>1 (1)</v>
      </c>
      <c r="D90" s="2" t="s">
        <v>293</v>
      </c>
      <c r="E90" s="5" t="s">
        <v>294</v>
      </c>
      <c r="F90" s="3" t="s">
        <v>295</v>
      </c>
      <c r="G90" s="3" t="s">
        <v>289</v>
      </c>
      <c r="H90" s="2" t="str">
        <f>"2010"</f>
        <v>2010</v>
      </c>
      <c r="I90" t="s">
        <v>14</v>
      </c>
      <c r="J90" t="s">
        <v>15</v>
      </c>
    </row>
    <row r="91" spans="1:10">
      <c r="A91" s="2" t="str">
        <f>"88"</f>
        <v>88</v>
      </c>
      <c r="B91" s="2" t="s">
        <v>9</v>
      </c>
      <c r="C91" s="2" t="str">
        <f>"1 (1)"</f>
        <v>1 (1)</v>
      </c>
      <c r="D91" s="2" t="s">
        <v>296</v>
      </c>
      <c r="E91" s="5" t="s">
        <v>297</v>
      </c>
      <c r="F91" s="3" t="s">
        <v>298</v>
      </c>
      <c r="G91" s="3" t="s">
        <v>289</v>
      </c>
      <c r="H91" s="2" t="str">
        <f>"2010"</f>
        <v>2010</v>
      </c>
      <c r="I91" t="s">
        <v>14</v>
      </c>
      <c r="J91" t="s">
        <v>15</v>
      </c>
    </row>
    <row r="92" spans="1:10">
      <c r="A92" s="2" t="str">
        <f>"89"</f>
        <v>89</v>
      </c>
      <c r="B92" s="2" t="s">
        <v>9</v>
      </c>
      <c r="C92" s="2" t="str">
        <f>"1 (1)"</f>
        <v>1 (1)</v>
      </c>
      <c r="D92" s="2" t="s">
        <v>299</v>
      </c>
      <c r="E92" s="5" t="s">
        <v>300</v>
      </c>
      <c r="F92" s="3" t="s">
        <v>301</v>
      </c>
      <c r="G92" s="3" t="s">
        <v>289</v>
      </c>
      <c r="H92" s="2" t="str">
        <f>"2011"</f>
        <v>2011</v>
      </c>
      <c r="I92" t="s">
        <v>14</v>
      </c>
      <c r="J92" t="s">
        <v>15</v>
      </c>
    </row>
    <row r="93" spans="1:10">
      <c r="A93" s="2" t="str">
        <f>"90"</f>
        <v>90</v>
      </c>
      <c r="B93" s="2" t="s">
        <v>9</v>
      </c>
      <c r="C93" s="2" t="str">
        <f>"1 (1)"</f>
        <v>1 (1)</v>
      </c>
      <c r="D93" s="2" t="s">
        <v>302</v>
      </c>
      <c r="E93" s="5" t="s">
        <v>303</v>
      </c>
      <c r="F93" s="3" t="s">
        <v>304</v>
      </c>
      <c r="G93" s="3" t="s">
        <v>289</v>
      </c>
      <c r="H93" s="2" t="str">
        <f>"2011"</f>
        <v>2011</v>
      </c>
      <c r="I93" t="s">
        <v>14</v>
      </c>
      <c r="J93" t="s">
        <v>15</v>
      </c>
    </row>
    <row r="94" spans="1:10">
      <c r="A94" s="2" t="str">
        <f>"91"</f>
        <v>91</v>
      </c>
      <c r="B94" s="2" t="s">
        <v>9</v>
      </c>
      <c r="C94" s="2" t="str">
        <f>"1 (1)"</f>
        <v>1 (1)</v>
      </c>
      <c r="D94" s="2" t="s">
        <v>305</v>
      </c>
      <c r="E94" s="5" t="s">
        <v>306</v>
      </c>
      <c r="F94" s="3" t="s">
        <v>307</v>
      </c>
      <c r="G94" s="3" t="s">
        <v>289</v>
      </c>
      <c r="H94" s="2" t="str">
        <f>"2012"</f>
        <v>2012</v>
      </c>
      <c r="I94" t="s">
        <v>14</v>
      </c>
      <c r="J94" t="s">
        <v>15</v>
      </c>
    </row>
    <row r="95" spans="1:10">
      <c r="A95" s="2" t="str">
        <f>"92"</f>
        <v>92</v>
      </c>
      <c r="B95" s="2" t="s">
        <v>9</v>
      </c>
      <c r="C95" s="2" t="str">
        <f>"1 (1)"</f>
        <v>1 (1)</v>
      </c>
      <c r="D95" s="2" t="s">
        <v>308</v>
      </c>
      <c r="E95" s="5" t="s">
        <v>309</v>
      </c>
      <c r="F95" s="3" t="s">
        <v>310</v>
      </c>
      <c r="G95" s="3" t="s">
        <v>289</v>
      </c>
      <c r="H95" s="2" t="str">
        <f>"2012"</f>
        <v>2012</v>
      </c>
      <c r="I95" t="s">
        <v>14</v>
      </c>
      <c r="J95" t="s">
        <v>15</v>
      </c>
    </row>
    <row r="96" spans="1:10">
      <c r="A96" s="2" t="str">
        <f>"93"</f>
        <v>93</v>
      </c>
      <c r="B96" s="2" t="s">
        <v>9</v>
      </c>
      <c r="C96" s="2" t="str">
        <f>"1 (1)"</f>
        <v>1 (1)</v>
      </c>
      <c r="D96" s="2" t="s">
        <v>311</v>
      </c>
      <c r="E96" s="5" t="s">
        <v>312</v>
      </c>
      <c r="F96" s="3" t="s">
        <v>313</v>
      </c>
      <c r="G96" s="3" t="s">
        <v>289</v>
      </c>
      <c r="H96" s="2" t="str">
        <f>"2012"</f>
        <v>2012</v>
      </c>
      <c r="I96" t="s">
        <v>14</v>
      </c>
      <c r="J96" t="s">
        <v>15</v>
      </c>
    </row>
    <row r="97" spans="1:10">
      <c r="A97" s="2" t="str">
        <f>"94"</f>
        <v>94</v>
      </c>
      <c r="B97" s="2" t="s">
        <v>9</v>
      </c>
      <c r="C97" s="2" t="str">
        <f>"1 (1)"</f>
        <v>1 (1)</v>
      </c>
      <c r="D97" s="2" t="s">
        <v>314</v>
      </c>
      <c r="E97" s="5" t="s">
        <v>315</v>
      </c>
      <c r="F97" s="3" t="s">
        <v>316</v>
      </c>
      <c r="G97" s="3" t="s">
        <v>289</v>
      </c>
      <c r="H97" s="2" t="str">
        <f>"2012"</f>
        <v>2012</v>
      </c>
      <c r="I97" t="s">
        <v>14</v>
      </c>
      <c r="J97" t="s">
        <v>15</v>
      </c>
    </row>
    <row r="98" spans="1:10">
      <c r="A98" s="2" t="str">
        <f>"95"</f>
        <v>95</v>
      </c>
      <c r="B98" s="2" t="s">
        <v>9</v>
      </c>
      <c r="C98" s="2" t="str">
        <f>"1 (1)"</f>
        <v>1 (1)</v>
      </c>
      <c r="D98" s="2" t="s">
        <v>317</v>
      </c>
      <c r="E98" s="5" t="s">
        <v>318</v>
      </c>
      <c r="F98" s="3" t="s">
        <v>319</v>
      </c>
      <c r="G98" s="3" t="s">
        <v>289</v>
      </c>
      <c r="H98" s="2" t="str">
        <f>"2012"</f>
        <v>2012</v>
      </c>
      <c r="I98" t="s">
        <v>14</v>
      </c>
      <c r="J98" t="s">
        <v>15</v>
      </c>
    </row>
    <row r="99" spans="1:10">
      <c r="A99" s="2" t="str">
        <f>"96"</f>
        <v>96</v>
      </c>
      <c r="B99" s="2" t="s">
        <v>9</v>
      </c>
      <c r="C99" s="2" t="str">
        <f>"1 (1)"</f>
        <v>1 (1)</v>
      </c>
      <c r="D99" s="2" t="s">
        <v>320</v>
      </c>
      <c r="E99" s="5" t="s">
        <v>321</v>
      </c>
      <c r="F99" s="3" t="s">
        <v>322</v>
      </c>
      <c r="G99" s="3" t="s">
        <v>289</v>
      </c>
      <c r="H99" s="2" t="str">
        <f>"2012"</f>
        <v>2012</v>
      </c>
      <c r="I99" t="s">
        <v>14</v>
      </c>
      <c r="J99" t="s">
        <v>15</v>
      </c>
    </row>
    <row r="100" spans="1:10">
      <c r="A100" s="2" t="str">
        <f>"97"</f>
        <v>97</v>
      </c>
      <c r="B100" s="2" t="s">
        <v>9</v>
      </c>
      <c r="C100" s="2" t="str">
        <f>"1 (1)"</f>
        <v>1 (1)</v>
      </c>
      <c r="D100" s="2" t="s">
        <v>323</v>
      </c>
      <c r="E100" s="5" t="s">
        <v>324</v>
      </c>
      <c r="F100" s="3" t="s">
        <v>325</v>
      </c>
      <c r="G100" s="3" t="s">
        <v>289</v>
      </c>
      <c r="H100" s="2" t="str">
        <f>"2012"</f>
        <v>2012</v>
      </c>
      <c r="I100" t="s">
        <v>14</v>
      </c>
      <c r="J100" t="s">
        <v>15</v>
      </c>
    </row>
    <row r="101" spans="1:10">
      <c r="A101" s="2" t="str">
        <f>"98"</f>
        <v>98</v>
      </c>
      <c r="B101" s="2" t="s">
        <v>9</v>
      </c>
      <c r="C101" s="2" t="str">
        <f>"1 (1)"</f>
        <v>1 (1)</v>
      </c>
      <c r="D101" s="2" t="s">
        <v>326</v>
      </c>
      <c r="E101" s="5" t="s">
        <v>327</v>
      </c>
      <c r="F101" s="3" t="s">
        <v>328</v>
      </c>
      <c r="G101" s="3" t="s">
        <v>289</v>
      </c>
      <c r="H101" s="2" t="str">
        <f>"2012"</f>
        <v>2012</v>
      </c>
      <c r="I101" t="s">
        <v>14</v>
      </c>
      <c r="J101" t="s">
        <v>15</v>
      </c>
    </row>
    <row r="102" spans="1:10">
      <c r="A102" s="2" t="str">
        <f>"99"</f>
        <v>99</v>
      </c>
      <c r="B102" s="2" t="s">
        <v>9</v>
      </c>
      <c r="C102" s="2" t="str">
        <f>"1 (1)"</f>
        <v>1 (1)</v>
      </c>
      <c r="D102" s="2" t="s">
        <v>329</v>
      </c>
      <c r="E102" s="5" t="s">
        <v>330</v>
      </c>
      <c r="F102" s="3" t="s">
        <v>331</v>
      </c>
      <c r="G102" s="3" t="s">
        <v>289</v>
      </c>
      <c r="H102" s="2" t="str">
        <f>"2012"</f>
        <v>2012</v>
      </c>
      <c r="I102" t="s">
        <v>14</v>
      </c>
      <c r="J102" t="s">
        <v>15</v>
      </c>
    </row>
    <row r="103" spans="1:10">
      <c r="A103" s="2" t="str">
        <f>"100"</f>
        <v>100</v>
      </c>
      <c r="B103" s="2" t="s">
        <v>9</v>
      </c>
      <c r="C103" s="2" t="str">
        <f>"1 (1)"</f>
        <v>1 (1)</v>
      </c>
      <c r="D103" s="2" t="s">
        <v>332</v>
      </c>
      <c r="E103" s="5" t="s">
        <v>333</v>
      </c>
      <c r="F103" s="3" t="s">
        <v>334</v>
      </c>
      <c r="G103" s="3" t="s">
        <v>289</v>
      </c>
      <c r="H103" s="2" t="str">
        <f>"2012"</f>
        <v>2012</v>
      </c>
      <c r="I103" t="s">
        <v>14</v>
      </c>
      <c r="J103" t="s">
        <v>15</v>
      </c>
    </row>
    <row r="104" spans="1:10">
      <c r="A104" s="2" t="str">
        <f>"101"</f>
        <v>101</v>
      </c>
      <c r="B104" s="2" t="s">
        <v>9</v>
      </c>
      <c r="C104" s="2" t="str">
        <f>"1 (1)"</f>
        <v>1 (1)</v>
      </c>
      <c r="D104" s="2" t="s">
        <v>335</v>
      </c>
      <c r="E104" s="5" t="s">
        <v>336</v>
      </c>
      <c r="F104" s="3" t="s">
        <v>337</v>
      </c>
      <c r="G104" s="3" t="s">
        <v>338</v>
      </c>
      <c r="H104" s="2" t="str">
        <f>"2012"</f>
        <v>2012</v>
      </c>
      <c r="I104" t="s">
        <v>14</v>
      </c>
      <c r="J104" t="s">
        <v>15</v>
      </c>
    </row>
    <row r="105" spans="1:10">
      <c r="A105" s="2" t="str">
        <f>"102"</f>
        <v>102</v>
      </c>
      <c r="B105" s="2" t="s">
        <v>9</v>
      </c>
      <c r="C105" s="2" t="str">
        <f>"1 (1)"</f>
        <v>1 (1)</v>
      </c>
      <c r="D105" s="2" t="s">
        <v>339</v>
      </c>
      <c r="E105" s="5" t="s">
        <v>340</v>
      </c>
      <c r="F105" s="3" t="s">
        <v>341</v>
      </c>
      <c r="G105" s="3" t="s">
        <v>62</v>
      </c>
      <c r="H105" s="2" t="str">
        <f>"2012"</f>
        <v>2012</v>
      </c>
      <c r="I105" t="s">
        <v>14</v>
      </c>
      <c r="J105" t="s">
        <v>15</v>
      </c>
    </row>
    <row r="106" spans="1:10">
      <c r="A106" s="2" t="str">
        <f>"103"</f>
        <v>103</v>
      </c>
      <c r="B106" s="2" t="s">
        <v>9</v>
      </c>
      <c r="C106" s="2" t="str">
        <f>"1 (1)"</f>
        <v>1 (1)</v>
      </c>
      <c r="D106" s="2" t="s">
        <v>342</v>
      </c>
      <c r="E106" s="5" t="s">
        <v>343</v>
      </c>
      <c r="F106" s="3" t="s">
        <v>344</v>
      </c>
      <c r="G106" s="3" t="s">
        <v>345</v>
      </c>
      <c r="H106" s="2" t="str">
        <f>"2012"</f>
        <v>2012</v>
      </c>
      <c r="I106" t="s">
        <v>14</v>
      </c>
      <c r="J106" t="s">
        <v>15</v>
      </c>
    </row>
    <row r="107" spans="1:10">
      <c r="A107" s="2" t="str">
        <f>"104"</f>
        <v>104</v>
      </c>
      <c r="B107" s="2" t="s">
        <v>9</v>
      </c>
      <c r="C107" s="2" t="str">
        <f>"1 (1)"</f>
        <v>1 (1)</v>
      </c>
      <c r="D107" s="2" t="s">
        <v>346</v>
      </c>
      <c r="E107" s="5" t="s">
        <v>347</v>
      </c>
      <c r="F107" s="3" t="s">
        <v>348</v>
      </c>
      <c r="G107" s="3" t="s">
        <v>349</v>
      </c>
      <c r="H107" s="2" t="str">
        <f>"2012"</f>
        <v>2012</v>
      </c>
      <c r="I107" t="s">
        <v>14</v>
      </c>
      <c r="J107" t="s">
        <v>15</v>
      </c>
    </row>
    <row r="108" spans="1:10">
      <c r="A108" s="2" t="str">
        <f>"105"</f>
        <v>105</v>
      </c>
      <c r="B108" s="2" t="s">
        <v>9</v>
      </c>
      <c r="C108" s="2" t="str">
        <f>"1 (1)"</f>
        <v>1 (1)</v>
      </c>
      <c r="D108" s="2" t="s">
        <v>350</v>
      </c>
      <c r="E108" s="5" t="s">
        <v>351</v>
      </c>
      <c r="F108" s="3" t="s">
        <v>352</v>
      </c>
      <c r="G108" s="3" t="s">
        <v>353</v>
      </c>
      <c r="H108" s="2" t="str">
        <f>"2012"</f>
        <v>2012</v>
      </c>
      <c r="I108" t="s">
        <v>14</v>
      </c>
      <c r="J108" t="s">
        <v>15</v>
      </c>
    </row>
    <row r="109" spans="1:10">
      <c r="A109" s="2" t="str">
        <f>"106"</f>
        <v>106</v>
      </c>
      <c r="B109" s="2" t="s">
        <v>9</v>
      </c>
      <c r="C109" s="2" t="str">
        <f>"1 (1)"</f>
        <v>1 (1)</v>
      </c>
      <c r="D109" s="2" t="s">
        <v>354</v>
      </c>
      <c r="E109" s="5" t="s">
        <v>355</v>
      </c>
      <c r="F109" s="3" t="s">
        <v>356</v>
      </c>
      <c r="G109" s="3" t="s">
        <v>86</v>
      </c>
      <c r="H109" s="2" t="str">
        <f>"2012"</f>
        <v>2012</v>
      </c>
      <c r="I109" t="s">
        <v>14</v>
      </c>
      <c r="J109" t="s">
        <v>15</v>
      </c>
    </row>
    <row r="110" spans="1:10">
      <c r="A110" s="2" t="str">
        <f>"107"</f>
        <v>107</v>
      </c>
      <c r="B110" s="2" t="s">
        <v>9</v>
      </c>
      <c r="C110" s="2" t="str">
        <f>"1 (1)"</f>
        <v>1 (1)</v>
      </c>
      <c r="D110" s="2" t="s">
        <v>357</v>
      </c>
      <c r="E110" s="5" t="s">
        <v>358</v>
      </c>
      <c r="F110" s="3" t="s">
        <v>359</v>
      </c>
      <c r="G110" s="3" t="s">
        <v>360</v>
      </c>
      <c r="H110" s="2" t="str">
        <f>"2012"</f>
        <v>2012</v>
      </c>
      <c r="I110" t="s">
        <v>14</v>
      </c>
      <c r="J110" t="s">
        <v>15</v>
      </c>
    </row>
    <row r="111" spans="1:10">
      <c r="A111" s="2" t="str">
        <f>"108"</f>
        <v>108</v>
      </c>
      <c r="B111" s="2" t="s">
        <v>9</v>
      </c>
      <c r="C111" s="2" t="str">
        <f>"1 (1)"</f>
        <v>1 (1)</v>
      </c>
      <c r="D111" s="2" t="s">
        <v>361</v>
      </c>
      <c r="E111" s="5" t="s">
        <v>362</v>
      </c>
      <c r="F111" s="3" t="s">
        <v>363</v>
      </c>
      <c r="G111" s="3" t="s">
        <v>360</v>
      </c>
      <c r="H111" s="2" t="str">
        <f>"2012"</f>
        <v>2012</v>
      </c>
      <c r="I111" t="s">
        <v>14</v>
      </c>
      <c r="J111" t="s">
        <v>15</v>
      </c>
    </row>
    <row r="112" spans="1:10">
      <c r="A112" s="2" t="str">
        <f>"109"</f>
        <v>109</v>
      </c>
      <c r="B112" s="2" t="s">
        <v>9</v>
      </c>
      <c r="C112" s="2" t="str">
        <f>"1 (1)"</f>
        <v>1 (1)</v>
      </c>
      <c r="D112" s="2" t="s">
        <v>364</v>
      </c>
      <c r="E112" s="5" t="s">
        <v>365</v>
      </c>
      <c r="F112" s="3" t="s">
        <v>366</v>
      </c>
      <c r="G112" s="3" t="s">
        <v>360</v>
      </c>
      <c r="H112" s="2" t="str">
        <f>"2012"</f>
        <v>2012</v>
      </c>
      <c r="I112" t="s">
        <v>14</v>
      </c>
      <c r="J112" t="s">
        <v>15</v>
      </c>
    </row>
    <row r="113" spans="1:10">
      <c r="A113" s="2" t="str">
        <f>"110"</f>
        <v>110</v>
      </c>
      <c r="B113" s="2" t="s">
        <v>9</v>
      </c>
      <c r="C113" s="2" t="str">
        <f>"1 (1)"</f>
        <v>1 (1)</v>
      </c>
      <c r="D113" s="2" t="s">
        <v>367</v>
      </c>
      <c r="E113" s="5" t="s">
        <v>368</v>
      </c>
      <c r="F113" s="3" t="s">
        <v>369</v>
      </c>
      <c r="G113" s="3" t="s">
        <v>360</v>
      </c>
      <c r="H113" s="2" t="str">
        <f>"2012"</f>
        <v>2012</v>
      </c>
      <c r="I113" t="s">
        <v>14</v>
      </c>
      <c r="J113" t="s">
        <v>15</v>
      </c>
    </row>
    <row r="114" spans="1:10">
      <c r="A114" s="2" t="str">
        <f>"111"</f>
        <v>111</v>
      </c>
      <c r="B114" s="2" t="s">
        <v>9</v>
      </c>
      <c r="C114" s="2" t="str">
        <f>"1 (1)"</f>
        <v>1 (1)</v>
      </c>
      <c r="D114" s="2" t="s">
        <v>370</v>
      </c>
      <c r="E114" s="5" t="s">
        <v>371</v>
      </c>
      <c r="F114" s="3" t="s">
        <v>372</v>
      </c>
      <c r="G114" s="3" t="s">
        <v>373</v>
      </c>
      <c r="H114" s="2" t="str">
        <f>"2012"</f>
        <v>2012</v>
      </c>
      <c r="I114" t="s">
        <v>14</v>
      </c>
      <c r="J114" t="s">
        <v>15</v>
      </c>
    </row>
    <row r="115" spans="1:10">
      <c r="A115" s="2" t="str">
        <f>"112"</f>
        <v>112</v>
      </c>
      <c r="B115" s="2" t="s">
        <v>9</v>
      </c>
      <c r="C115" s="2" t="str">
        <f>"1 (1)"</f>
        <v>1 (1)</v>
      </c>
      <c r="D115" s="2" t="s">
        <v>374</v>
      </c>
      <c r="E115" s="5" t="s">
        <v>375</v>
      </c>
      <c r="F115" s="3" t="s">
        <v>376</v>
      </c>
      <c r="G115" s="3" t="s">
        <v>373</v>
      </c>
      <c r="H115" s="2" t="str">
        <f>"2012"</f>
        <v>2012</v>
      </c>
      <c r="I115" t="s">
        <v>14</v>
      </c>
      <c r="J115" t="s">
        <v>15</v>
      </c>
    </row>
    <row r="116" spans="1:10">
      <c r="A116" s="2" t="str">
        <f>"113"</f>
        <v>113</v>
      </c>
      <c r="B116" s="2" t="s">
        <v>9</v>
      </c>
      <c r="C116" s="2" t="str">
        <f>"1 (1)"</f>
        <v>1 (1)</v>
      </c>
      <c r="D116" s="2" t="s">
        <v>377</v>
      </c>
      <c r="E116" s="5" t="s">
        <v>378</v>
      </c>
      <c r="F116" s="3" t="s">
        <v>379</v>
      </c>
      <c r="G116" s="3" t="s">
        <v>380</v>
      </c>
      <c r="H116" s="2" t="str">
        <f>"2012"</f>
        <v>2012</v>
      </c>
      <c r="I116" t="s">
        <v>14</v>
      </c>
      <c r="J116" t="s">
        <v>15</v>
      </c>
    </row>
    <row r="117" spans="1:10">
      <c r="A117" s="2" t="str">
        <f>"114"</f>
        <v>114</v>
      </c>
      <c r="B117" s="2" t="s">
        <v>9</v>
      </c>
      <c r="C117" s="2" t="str">
        <f>"1 (1)"</f>
        <v>1 (1)</v>
      </c>
      <c r="D117" s="2" t="s">
        <v>381</v>
      </c>
      <c r="E117" s="5" t="s">
        <v>382</v>
      </c>
      <c r="F117" s="3" t="s">
        <v>383</v>
      </c>
      <c r="G117" s="3" t="s">
        <v>384</v>
      </c>
      <c r="H117" s="2" t="str">
        <f>"2012"</f>
        <v>2012</v>
      </c>
      <c r="I117" t="s">
        <v>14</v>
      </c>
      <c r="J117" t="s">
        <v>15</v>
      </c>
    </row>
    <row r="118" spans="1:10">
      <c r="A118" s="2" t="str">
        <f>"115"</f>
        <v>115</v>
      </c>
      <c r="B118" s="2" t="s">
        <v>9</v>
      </c>
      <c r="C118" s="2" t="str">
        <f>"1 (1)"</f>
        <v>1 (1)</v>
      </c>
      <c r="D118" s="2" t="s">
        <v>385</v>
      </c>
      <c r="E118" s="5" t="s">
        <v>386</v>
      </c>
      <c r="F118" s="3" t="s">
        <v>387</v>
      </c>
      <c r="G118" s="3" t="s">
        <v>384</v>
      </c>
      <c r="H118" s="2" t="str">
        <f>"2012"</f>
        <v>2012</v>
      </c>
      <c r="I118" t="s">
        <v>14</v>
      </c>
      <c r="J118" t="s">
        <v>15</v>
      </c>
    </row>
    <row r="119" spans="1:10">
      <c r="A119" s="2" t="str">
        <f>"116"</f>
        <v>116</v>
      </c>
      <c r="B119" s="2" t="s">
        <v>9</v>
      </c>
      <c r="C119" s="2" t="str">
        <f>"1 (1)"</f>
        <v>1 (1)</v>
      </c>
      <c r="D119" s="2" t="s">
        <v>388</v>
      </c>
      <c r="E119" s="5" t="s">
        <v>389</v>
      </c>
      <c r="F119" s="3" t="s">
        <v>390</v>
      </c>
      <c r="G119" s="3" t="s">
        <v>384</v>
      </c>
      <c r="H119" s="2" t="str">
        <f>"2012"</f>
        <v>2012</v>
      </c>
      <c r="I119" t="s">
        <v>14</v>
      </c>
      <c r="J119" t="s">
        <v>15</v>
      </c>
    </row>
    <row r="120" spans="1:10">
      <c r="A120" s="2" t="str">
        <f>"117"</f>
        <v>117</v>
      </c>
      <c r="B120" s="2" t="s">
        <v>9</v>
      </c>
      <c r="C120" s="2" t="str">
        <f>"1 (1)"</f>
        <v>1 (1)</v>
      </c>
      <c r="D120" s="2" t="s">
        <v>391</v>
      </c>
      <c r="E120" s="5" t="s">
        <v>392</v>
      </c>
      <c r="F120" s="3" t="s">
        <v>393</v>
      </c>
      <c r="G120" s="3" t="s">
        <v>394</v>
      </c>
      <c r="H120" s="2" t="str">
        <f>"2011"</f>
        <v>2011</v>
      </c>
      <c r="I120" t="s">
        <v>14</v>
      </c>
      <c r="J120" t="s">
        <v>15</v>
      </c>
    </row>
    <row r="121" spans="1:10">
      <c r="A121" s="2" t="str">
        <f>"118"</f>
        <v>118</v>
      </c>
      <c r="B121" s="2" t="s">
        <v>9</v>
      </c>
      <c r="C121" s="2" t="str">
        <f>"1 (1)"</f>
        <v>1 (1)</v>
      </c>
      <c r="D121" s="2" t="s">
        <v>395</v>
      </c>
      <c r="E121" s="5" t="s">
        <v>396</v>
      </c>
      <c r="F121" s="3" t="s">
        <v>397</v>
      </c>
      <c r="G121" s="3" t="s">
        <v>394</v>
      </c>
      <c r="H121" s="2" t="str">
        <f>"2011"</f>
        <v>2011</v>
      </c>
      <c r="I121" t="s">
        <v>14</v>
      </c>
      <c r="J121" t="s">
        <v>15</v>
      </c>
    </row>
    <row r="122" spans="1:10">
      <c r="A122" s="2" t="str">
        <f>"119"</f>
        <v>119</v>
      </c>
      <c r="B122" s="2" t="s">
        <v>9</v>
      </c>
      <c r="C122" s="2" t="str">
        <f>"1 (1)"</f>
        <v>1 (1)</v>
      </c>
      <c r="D122" s="2" t="s">
        <v>398</v>
      </c>
      <c r="E122" s="5" t="s">
        <v>399</v>
      </c>
      <c r="F122" s="3" t="s">
        <v>400</v>
      </c>
      <c r="G122" s="3" t="s">
        <v>394</v>
      </c>
      <c r="H122" s="2" t="str">
        <f>"2011"</f>
        <v>2011</v>
      </c>
      <c r="I122" t="s">
        <v>14</v>
      </c>
      <c r="J122" t="s">
        <v>15</v>
      </c>
    </row>
    <row r="123" spans="1:10">
      <c r="A123" s="2" t="str">
        <f>"120"</f>
        <v>120</v>
      </c>
      <c r="B123" s="2" t="s">
        <v>9</v>
      </c>
      <c r="C123" s="2" t="str">
        <f>"1 (1)"</f>
        <v>1 (1)</v>
      </c>
      <c r="D123" s="2" t="s">
        <v>401</v>
      </c>
      <c r="E123" s="5" t="s">
        <v>402</v>
      </c>
      <c r="F123" s="3" t="s">
        <v>403</v>
      </c>
      <c r="G123" s="3" t="s">
        <v>394</v>
      </c>
      <c r="H123" s="2" t="str">
        <f>"2011"</f>
        <v>2011</v>
      </c>
      <c r="I123" t="s">
        <v>14</v>
      </c>
      <c r="J123" t="s">
        <v>15</v>
      </c>
    </row>
    <row r="124" spans="1:10">
      <c r="A124" s="2" t="str">
        <f>"121"</f>
        <v>121</v>
      </c>
      <c r="B124" s="2" t="s">
        <v>9</v>
      </c>
      <c r="C124" s="2" t="str">
        <f>"1 (1)"</f>
        <v>1 (1)</v>
      </c>
      <c r="D124" s="2" t="s">
        <v>404</v>
      </c>
      <c r="E124" s="5" t="s">
        <v>405</v>
      </c>
      <c r="F124" s="3" t="s">
        <v>406</v>
      </c>
      <c r="G124" s="3" t="s">
        <v>394</v>
      </c>
      <c r="H124" s="2" t="str">
        <f>"2012"</f>
        <v>2012</v>
      </c>
      <c r="I124" t="s">
        <v>14</v>
      </c>
      <c r="J124" t="s">
        <v>15</v>
      </c>
    </row>
    <row r="125" spans="1:10">
      <c r="A125" s="2" t="str">
        <f>"122"</f>
        <v>122</v>
      </c>
      <c r="B125" s="2" t="s">
        <v>9</v>
      </c>
      <c r="C125" s="2" t="str">
        <f>"1 (1)"</f>
        <v>1 (1)</v>
      </c>
      <c r="D125" s="2" t="s">
        <v>407</v>
      </c>
      <c r="E125" s="5" t="s">
        <v>408</v>
      </c>
      <c r="F125" s="3" t="s">
        <v>406</v>
      </c>
      <c r="G125" s="3" t="s">
        <v>394</v>
      </c>
      <c r="H125" s="2" t="str">
        <f>"2012"</f>
        <v>2012</v>
      </c>
      <c r="I125" t="s">
        <v>14</v>
      </c>
      <c r="J125" t="s">
        <v>15</v>
      </c>
    </row>
    <row r="126" spans="1:10">
      <c r="A126" s="2" t="str">
        <f>"123"</f>
        <v>123</v>
      </c>
      <c r="B126" s="2" t="s">
        <v>9</v>
      </c>
      <c r="C126" s="2" t="str">
        <f>"1 (1)"</f>
        <v>1 (1)</v>
      </c>
      <c r="D126" s="2" t="s">
        <v>409</v>
      </c>
      <c r="E126" s="5" t="s">
        <v>410</v>
      </c>
      <c r="F126" s="3" t="s">
        <v>406</v>
      </c>
      <c r="G126" s="3" t="s">
        <v>394</v>
      </c>
      <c r="H126" s="2" t="str">
        <f>"2012"</f>
        <v>2012</v>
      </c>
      <c r="I126" t="s">
        <v>14</v>
      </c>
      <c r="J126" t="s">
        <v>15</v>
      </c>
    </row>
    <row r="127" spans="1:10">
      <c r="A127" s="2" t="str">
        <f>"124"</f>
        <v>124</v>
      </c>
      <c r="B127" s="2" t="s">
        <v>9</v>
      </c>
      <c r="C127" s="2" t="str">
        <f>"1 (1)"</f>
        <v>1 (1)</v>
      </c>
      <c r="D127" s="2" t="s">
        <v>411</v>
      </c>
      <c r="E127" s="5" t="s">
        <v>412</v>
      </c>
      <c r="F127" s="3" t="s">
        <v>413</v>
      </c>
      <c r="G127" s="3" t="s">
        <v>414</v>
      </c>
      <c r="H127" s="2" t="str">
        <f>"2012"</f>
        <v>2012</v>
      </c>
      <c r="I127" t="s">
        <v>14</v>
      </c>
      <c r="J127" t="s">
        <v>15</v>
      </c>
    </row>
    <row r="128" spans="1:10">
      <c r="A128" s="2" t="str">
        <f>"125"</f>
        <v>125</v>
      </c>
      <c r="B128" s="2" t="s">
        <v>9</v>
      </c>
      <c r="C128" s="2" t="str">
        <f>"1 (1)"</f>
        <v>1 (1)</v>
      </c>
      <c r="D128" s="2" t="s">
        <v>415</v>
      </c>
      <c r="E128" s="5" t="s">
        <v>416</v>
      </c>
      <c r="F128" s="3" t="s">
        <v>417</v>
      </c>
      <c r="G128" s="3" t="s">
        <v>418</v>
      </c>
      <c r="H128" s="2" t="str">
        <f>"2012"</f>
        <v>2012</v>
      </c>
      <c r="I128" t="s">
        <v>14</v>
      </c>
      <c r="J128" t="s">
        <v>15</v>
      </c>
    </row>
    <row r="129" spans="1:10">
      <c r="A129" s="2" t="str">
        <f>"126"</f>
        <v>126</v>
      </c>
      <c r="B129" s="2" t="s">
        <v>9</v>
      </c>
      <c r="C129" s="2" t="str">
        <f>"1 (1)"</f>
        <v>1 (1)</v>
      </c>
      <c r="D129" s="2" t="s">
        <v>419</v>
      </c>
      <c r="E129" s="5" t="s">
        <v>420</v>
      </c>
      <c r="F129" s="3" t="s">
        <v>421</v>
      </c>
      <c r="G129" s="3" t="s">
        <v>422</v>
      </c>
      <c r="H129" s="2" t="str">
        <f>"2012"</f>
        <v>2012</v>
      </c>
      <c r="I129" t="s">
        <v>14</v>
      </c>
      <c r="J129" t="s">
        <v>15</v>
      </c>
    </row>
    <row r="130" spans="1:10">
      <c r="A130" s="2" t="str">
        <f>"127"</f>
        <v>127</v>
      </c>
      <c r="B130" s="2" t="s">
        <v>9</v>
      </c>
      <c r="C130" s="2" t="str">
        <f>"1 (1)"</f>
        <v>1 (1)</v>
      </c>
      <c r="D130" s="2" t="s">
        <v>423</v>
      </c>
      <c r="E130" s="5" t="s">
        <v>424</v>
      </c>
      <c r="F130" s="3" t="s">
        <v>425</v>
      </c>
      <c r="G130" s="3" t="s">
        <v>426</v>
      </c>
      <c r="H130" s="2" t="str">
        <f>"2012"</f>
        <v>2012</v>
      </c>
      <c r="I130" t="s">
        <v>14</v>
      </c>
      <c r="J130" t="s">
        <v>15</v>
      </c>
    </row>
    <row r="131" spans="1:10">
      <c r="A131" s="2" t="str">
        <f>"128"</f>
        <v>128</v>
      </c>
      <c r="B131" s="2" t="s">
        <v>9</v>
      </c>
      <c r="C131" s="2" t="str">
        <f>"1 (1)"</f>
        <v>1 (1)</v>
      </c>
      <c r="D131" s="2" t="s">
        <v>427</v>
      </c>
      <c r="E131" s="5" t="s">
        <v>428</v>
      </c>
      <c r="F131" s="3" t="s">
        <v>429</v>
      </c>
      <c r="G131" s="3" t="s">
        <v>426</v>
      </c>
      <c r="H131" s="2" t="str">
        <f>"2012"</f>
        <v>2012</v>
      </c>
      <c r="I131" t="s">
        <v>14</v>
      </c>
      <c r="J131" t="s">
        <v>15</v>
      </c>
    </row>
    <row r="132" spans="1:10">
      <c r="A132" s="2" t="str">
        <f>"129"</f>
        <v>129</v>
      </c>
      <c r="B132" s="2" t="s">
        <v>9</v>
      </c>
      <c r="C132" s="2" t="str">
        <f>"1 (1)"</f>
        <v>1 (1)</v>
      </c>
      <c r="D132" s="2" t="s">
        <v>430</v>
      </c>
      <c r="E132" s="5" t="s">
        <v>431</v>
      </c>
      <c r="F132" s="3" t="s">
        <v>432</v>
      </c>
      <c r="G132" s="3" t="s">
        <v>426</v>
      </c>
      <c r="H132" s="2" t="str">
        <f>"2012"</f>
        <v>2012</v>
      </c>
      <c r="I132" t="s">
        <v>14</v>
      </c>
      <c r="J132" t="s">
        <v>15</v>
      </c>
    </row>
    <row r="133" spans="1:10">
      <c r="A133" s="2" t="str">
        <f>"130"</f>
        <v>130</v>
      </c>
      <c r="B133" s="2" t="s">
        <v>9</v>
      </c>
      <c r="C133" s="2" t="str">
        <f>"1 (1)"</f>
        <v>1 (1)</v>
      </c>
      <c r="D133" s="2" t="s">
        <v>433</v>
      </c>
      <c r="E133" s="5" t="s">
        <v>434</v>
      </c>
      <c r="F133" s="3" t="s">
        <v>435</v>
      </c>
      <c r="G133" s="3" t="s">
        <v>436</v>
      </c>
      <c r="H133" s="2" t="str">
        <f>"2012"</f>
        <v>2012</v>
      </c>
      <c r="I133" t="s">
        <v>14</v>
      </c>
      <c r="J133" t="s">
        <v>15</v>
      </c>
    </row>
    <row r="134" spans="1:10">
      <c r="A134" s="2" t="str">
        <f>"131"</f>
        <v>131</v>
      </c>
      <c r="B134" s="2" t="s">
        <v>9</v>
      </c>
      <c r="C134" s="2" t="str">
        <f>"1 (1)"</f>
        <v>1 (1)</v>
      </c>
      <c r="D134" s="2" t="s">
        <v>437</v>
      </c>
      <c r="E134" s="5" t="s">
        <v>438</v>
      </c>
      <c r="F134" s="3" t="s">
        <v>439</v>
      </c>
      <c r="G134" s="3" t="s">
        <v>436</v>
      </c>
      <c r="H134" s="2" t="str">
        <f>"2012"</f>
        <v>2012</v>
      </c>
      <c r="I134" t="s">
        <v>14</v>
      </c>
      <c r="J134" t="s">
        <v>15</v>
      </c>
    </row>
    <row r="135" spans="1:10">
      <c r="A135" s="2" t="str">
        <f>"132"</f>
        <v>132</v>
      </c>
      <c r="B135" s="2" t="s">
        <v>9</v>
      </c>
      <c r="C135" s="2" t="str">
        <f>"1 (1)"</f>
        <v>1 (1)</v>
      </c>
      <c r="D135" s="2" t="s">
        <v>440</v>
      </c>
      <c r="E135" s="5" t="s">
        <v>441</v>
      </c>
      <c r="F135" s="3" t="s">
        <v>442</v>
      </c>
      <c r="G135" s="3" t="s">
        <v>443</v>
      </c>
      <c r="H135" s="2" t="str">
        <f>"2012"</f>
        <v>2012</v>
      </c>
      <c r="I135" t="s">
        <v>14</v>
      </c>
      <c r="J135" t="s">
        <v>15</v>
      </c>
    </row>
    <row r="136" spans="1:10">
      <c r="A136" s="2" t="str">
        <f>"133"</f>
        <v>133</v>
      </c>
      <c r="B136" s="2" t="s">
        <v>9</v>
      </c>
      <c r="C136" s="2" t="str">
        <f>"1 (1)"</f>
        <v>1 (1)</v>
      </c>
      <c r="D136" s="2" t="s">
        <v>444</v>
      </c>
      <c r="E136" s="5" t="s">
        <v>445</v>
      </c>
      <c r="F136" s="3" t="s">
        <v>446</v>
      </c>
      <c r="G136" s="3" t="s">
        <v>443</v>
      </c>
      <c r="H136" s="2" t="str">
        <f>"2012"</f>
        <v>2012</v>
      </c>
      <c r="I136" t="s">
        <v>14</v>
      </c>
      <c r="J136" t="s">
        <v>15</v>
      </c>
    </row>
    <row r="137" spans="1:10">
      <c r="A137" s="2" t="str">
        <f>"134"</f>
        <v>134</v>
      </c>
      <c r="B137" s="2" t="s">
        <v>9</v>
      </c>
      <c r="C137" s="2" t="str">
        <f>"1 (1)"</f>
        <v>1 (1)</v>
      </c>
      <c r="D137" s="2" t="s">
        <v>447</v>
      </c>
      <c r="E137" s="5" t="s">
        <v>448</v>
      </c>
      <c r="F137" s="3" t="s">
        <v>449</v>
      </c>
      <c r="G137" s="3" t="s">
        <v>450</v>
      </c>
      <c r="H137" s="2" t="str">
        <f>"2012"</f>
        <v>2012</v>
      </c>
      <c r="I137" t="s">
        <v>14</v>
      </c>
      <c r="J137" t="s">
        <v>15</v>
      </c>
    </row>
    <row r="138" spans="1:10">
      <c r="A138" s="2" t="str">
        <f>"135"</f>
        <v>135</v>
      </c>
      <c r="B138" s="2" t="s">
        <v>9</v>
      </c>
      <c r="C138" s="2" t="str">
        <f>"1 (1)"</f>
        <v>1 (1)</v>
      </c>
      <c r="D138" s="2" t="s">
        <v>451</v>
      </c>
      <c r="E138" s="5" t="s">
        <v>452</v>
      </c>
      <c r="F138" s="3" t="s">
        <v>453</v>
      </c>
      <c r="G138" s="3" t="s">
        <v>454</v>
      </c>
      <c r="H138" s="2" t="str">
        <f>"2012"</f>
        <v>2012</v>
      </c>
      <c r="I138" t="s">
        <v>14</v>
      </c>
      <c r="J138" t="s">
        <v>15</v>
      </c>
    </row>
    <row r="139" spans="1:10">
      <c r="A139" s="2" t="str">
        <f>"136"</f>
        <v>136</v>
      </c>
      <c r="B139" s="2" t="s">
        <v>9</v>
      </c>
      <c r="C139" s="2" t="str">
        <f>"1 (1)"</f>
        <v>1 (1)</v>
      </c>
      <c r="D139" s="2" t="s">
        <v>455</v>
      </c>
      <c r="E139" s="5" t="s">
        <v>456</v>
      </c>
      <c r="F139" s="3" t="s">
        <v>457</v>
      </c>
      <c r="G139" s="3" t="s">
        <v>458</v>
      </c>
      <c r="H139" s="2" t="str">
        <f>"2012"</f>
        <v>2012</v>
      </c>
      <c r="I139" t="s">
        <v>14</v>
      </c>
      <c r="J139" t="s">
        <v>15</v>
      </c>
    </row>
    <row r="140" spans="1:10">
      <c r="A140" s="2" t="str">
        <f>"137"</f>
        <v>137</v>
      </c>
      <c r="B140" s="2" t="s">
        <v>9</v>
      </c>
      <c r="C140" s="2" t="str">
        <f>"1 (1)"</f>
        <v>1 (1)</v>
      </c>
      <c r="D140" s="2" t="s">
        <v>459</v>
      </c>
      <c r="E140" s="5" t="s">
        <v>460</v>
      </c>
      <c r="F140" s="3" t="s">
        <v>461</v>
      </c>
      <c r="G140" s="3" t="s">
        <v>462</v>
      </c>
      <c r="H140" s="2" t="str">
        <f>"2012"</f>
        <v>2012</v>
      </c>
      <c r="I140" t="s">
        <v>14</v>
      </c>
      <c r="J140" t="s">
        <v>15</v>
      </c>
    </row>
    <row r="141" spans="1:10">
      <c r="A141" s="2" t="str">
        <f>"138"</f>
        <v>138</v>
      </c>
      <c r="B141" s="2" t="s">
        <v>9</v>
      </c>
      <c r="C141" s="2" t="str">
        <f>"1 (1)"</f>
        <v>1 (1)</v>
      </c>
      <c r="D141" s="2" t="s">
        <v>463</v>
      </c>
      <c r="E141" s="5" t="s">
        <v>464</v>
      </c>
      <c r="F141" s="3" t="s">
        <v>465</v>
      </c>
      <c r="G141" s="3" t="s">
        <v>466</v>
      </c>
      <c r="H141" s="2" t="str">
        <f>"2012"</f>
        <v>2012</v>
      </c>
      <c r="I141" t="s">
        <v>14</v>
      </c>
      <c r="J141" t="s">
        <v>15</v>
      </c>
    </row>
    <row r="142" spans="1:10">
      <c r="A142" s="2" t="str">
        <f>"139"</f>
        <v>139</v>
      </c>
      <c r="B142" s="2" t="s">
        <v>9</v>
      </c>
      <c r="C142" s="2" t="str">
        <f>"1 (1)"</f>
        <v>1 (1)</v>
      </c>
      <c r="D142" s="2" t="s">
        <v>467</v>
      </c>
      <c r="E142" s="5" t="s">
        <v>468</v>
      </c>
      <c r="F142" s="3" t="s">
        <v>469</v>
      </c>
      <c r="G142" s="3" t="s">
        <v>470</v>
      </c>
      <c r="H142" s="2" t="str">
        <f>"2012"</f>
        <v>2012</v>
      </c>
      <c r="I142" t="s">
        <v>14</v>
      </c>
      <c r="J142" t="s">
        <v>15</v>
      </c>
    </row>
    <row r="143" spans="1:10">
      <c r="A143" s="2" t="str">
        <f>"140"</f>
        <v>140</v>
      </c>
      <c r="B143" s="2" t="s">
        <v>9</v>
      </c>
      <c r="C143" s="2" t="str">
        <f>"1 (1)"</f>
        <v>1 (1)</v>
      </c>
      <c r="D143" s="2" t="s">
        <v>471</v>
      </c>
      <c r="E143" s="5" t="s">
        <v>472</v>
      </c>
      <c r="F143" s="3" t="s">
        <v>473</v>
      </c>
      <c r="G143" s="3" t="s">
        <v>470</v>
      </c>
      <c r="H143" s="2" t="str">
        <f>"2012"</f>
        <v>2012</v>
      </c>
      <c r="I143" t="s">
        <v>14</v>
      </c>
      <c r="J143" t="s">
        <v>15</v>
      </c>
    </row>
    <row r="144" spans="1:10">
      <c r="A144" s="2" t="str">
        <f>"141"</f>
        <v>141</v>
      </c>
      <c r="B144" s="2" t="s">
        <v>9</v>
      </c>
      <c r="C144" s="2" t="str">
        <f>"1 (1)"</f>
        <v>1 (1)</v>
      </c>
      <c r="D144" s="2" t="s">
        <v>474</v>
      </c>
      <c r="E144" s="5" t="s">
        <v>475</v>
      </c>
      <c r="F144" s="3" t="s">
        <v>476</v>
      </c>
      <c r="G144" s="3" t="s">
        <v>130</v>
      </c>
      <c r="H144" s="2" t="str">
        <f>"2012"</f>
        <v>2012</v>
      </c>
      <c r="I144" t="s">
        <v>14</v>
      </c>
      <c r="J144" t="s">
        <v>15</v>
      </c>
    </row>
    <row r="145" spans="1:10">
      <c r="A145" s="2" t="str">
        <f>"142"</f>
        <v>142</v>
      </c>
      <c r="B145" s="2" t="s">
        <v>9</v>
      </c>
      <c r="C145" s="2" t="str">
        <f>"1 (1)"</f>
        <v>1 (1)</v>
      </c>
      <c r="D145" s="2" t="s">
        <v>477</v>
      </c>
      <c r="E145" s="5" t="s">
        <v>478</v>
      </c>
      <c r="F145" s="3" t="s">
        <v>479</v>
      </c>
      <c r="G145" s="3" t="s">
        <v>130</v>
      </c>
      <c r="H145" s="2" t="str">
        <f>"2012"</f>
        <v>2012</v>
      </c>
      <c r="I145" t="s">
        <v>14</v>
      </c>
      <c r="J145" t="s">
        <v>15</v>
      </c>
    </row>
    <row r="146" spans="1:10">
      <c r="A146" s="2" t="str">
        <f>"143"</f>
        <v>143</v>
      </c>
      <c r="B146" s="2" t="s">
        <v>9</v>
      </c>
      <c r="C146" s="2" t="str">
        <f>"1 (1)"</f>
        <v>1 (1)</v>
      </c>
      <c r="D146" s="2" t="s">
        <v>480</v>
      </c>
      <c r="E146" s="5" t="s">
        <v>481</v>
      </c>
      <c r="F146" s="3" t="s">
        <v>473</v>
      </c>
      <c r="G146" s="3" t="s">
        <v>482</v>
      </c>
      <c r="H146" s="2" t="str">
        <f>"2012"</f>
        <v>2012</v>
      </c>
      <c r="I146" t="s">
        <v>14</v>
      </c>
      <c r="J146" t="s">
        <v>15</v>
      </c>
    </row>
    <row r="147" spans="1:10">
      <c r="A147" s="2" t="str">
        <f>"144"</f>
        <v>144</v>
      </c>
      <c r="B147" s="2" t="s">
        <v>9</v>
      </c>
      <c r="C147" s="2" t="str">
        <f>"1 (1)"</f>
        <v>1 (1)</v>
      </c>
      <c r="D147" s="2" t="s">
        <v>483</v>
      </c>
      <c r="E147" s="5" t="s">
        <v>484</v>
      </c>
      <c r="F147" s="3" t="s">
        <v>485</v>
      </c>
      <c r="G147" s="3" t="s">
        <v>486</v>
      </c>
      <c r="H147" s="2" t="str">
        <f>"2012"</f>
        <v>2012</v>
      </c>
      <c r="I147" t="s">
        <v>14</v>
      </c>
      <c r="J147" t="s">
        <v>15</v>
      </c>
    </row>
    <row r="148" spans="1:10">
      <c r="A148" s="2" t="str">
        <f>"145"</f>
        <v>145</v>
      </c>
      <c r="B148" s="2" t="s">
        <v>9</v>
      </c>
      <c r="C148" s="2" t="str">
        <f>"1 (1)"</f>
        <v>1 (1)</v>
      </c>
      <c r="D148" s="2" t="s">
        <v>487</v>
      </c>
      <c r="E148" s="5" t="s">
        <v>488</v>
      </c>
      <c r="F148" s="3" t="s">
        <v>489</v>
      </c>
      <c r="G148" s="3" t="s">
        <v>134</v>
      </c>
      <c r="H148" s="2" t="str">
        <f>"2012"</f>
        <v>2012</v>
      </c>
      <c r="I148" t="s">
        <v>14</v>
      </c>
      <c r="J148" t="s">
        <v>15</v>
      </c>
    </row>
    <row r="149" spans="1:10">
      <c r="A149" s="2" t="str">
        <f>"146"</f>
        <v>146</v>
      </c>
      <c r="B149" s="2" t="s">
        <v>9</v>
      </c>
      <c r="C149" s="2" t="str">
        <f>"1 (1)"</f>
        <v>1 (1)</v>
      </c>
      <c r="D149" s="2" t="s">
        <v>490</v>
      </c>
      <c r="E149" s="5" t="s">
        <v>491</v>
      </c>
      <c r="F149" s="3" t="s">
        <v>492</v>
      </c>
      <c r="G149" s="3" t="s">
        <v>150</v>
      </c>
      <c r="H149" s="2" t="str">
        <f>"2012"</f>
        <v>2012</v>
      </c>
      <c r="I149" t="s">
        <v>14</v>
      </c>
      <c r="J149" t="s">
        <v>15</v>
      </c>
    </row>
    <row r="150" spans="1:10">
      <c r="A150" s="2" t="str">
        <f>"147"</f>
        <v>147</v>
      </c>
      <c r="B150" s="2" t="s">
        <v>9</v>
      </c>
      <c r="C150" s="2" t="str">
        <f>"1 (1)"</f>
        <v>1 (1)</v>
      </c>
      <c r="D150" s="2" t="s">
        <v>493</v>
      </c>
      <c r="E150" s="5" t="s">
        <v>494</v>
      </c>
      <c r="F150" s="3" t="s">
        <v>495</v>
      </c>
      <c r="G150" s="3" t="s">
        <v>496</v>
      </c>
      <c r="H150" s="2" t="str">
        <f>"2012"</f>
        <v>2012</v>
      </c>
      <c r="I150" t="s">
        <v>14</v>
      </c>
      <c r="J150" t="s">
        <v>15</v>
      </c>
    </row>
    <row r="151" spans="1:10">
      <c r="A151" s="2" t="str">
        <f>"148"</f>
        <v>148</v>
      </c>
      <c r="B151" s="2" t="s">
        <v>9</v>
      </c>
      <c r="C151" s="2" t="str">
        <f>"1 (1)"</f>
        <v>1 (1)</v>
      </c>
      <c r="D151" s="2" t="s">
        <v>497</v>
      </c>
      <c r="E151" s="5" t="s">
        <v>498</v>
      </c>
      <c r="F151" s="3" t="s">
        <v>495</v>
      </c>
      <c r="G151" s="3" t="s">
        <v>496</v>
      </c>
      <c r="H151" s="2" t="str">
        <f>"2012"</f>
        <v>2012</v>
      </c>
      <c r="I151" t="s">
        <v>14</v>
      </c>
      <c r="J151" t="s">
        <v>15</v>
      </c>
    </row>
    <row r="152" spans="1:10">
      <c r="A152" s="2" t="str">
        <f>"149"</f>
        <v>149</v>
      </c>
      <c r="B152" s="2" t="s">
        <v>9</v>
      </c>
      <c r="C152" s="2" t="str">
        <f>"1 (1)"</f>
        <v>1 (1)</v>
      </c>
      <c r="D152" s="2" t="s">
        <v>499</v>
      </c>
      <c r="E152" s="5" t="s">
        <v>500</v>
      </c>
      <c r="F152" s="3" t="s">
        <v>501</v>
      </c>
      <c r="G152" s="3" t="s">
        <v>160</v>
      </c>
      <c r="H152" s="2" t="str">
        <f>"2012"</f>
        <v>2012</v>
      </c>
      <c r="I152" t="s">
        <v>14</v>
      </c>
      <c r="J152" t="s">
        <v>15</v>
      </c>
    </row>
    <row r="153" spans="1:10">
      <c r="A153" s="2" t="str">
        <f>"150"</f>
        <v>150</v>
      </c>
      <c r="B153" s="2" t="s">
        <v>9</v>
      </c>
      <c r="C153" s="2" t="str">
        <f>"1 (1)"</f>
        <v>1 (1)</v>
      </c>
      <c r="D153" s="2" t="s">
        <v>502</v>
      </c>
      <c r="E153" s="5" t="s">
        <v>503</v>
      </c>
      <c r="F153" s="3" t="s">
        <v>504</v>
      </c>
      <c r="G153" s="3" t="s">
        <v>505</v>
      </c>
      <c r="H153" s="2" t="str">
        <f>"2012"</f>
        <v>2012</v>
      </c>
      <c r="I153" t="s">
        <v>14</v>
      </c>
      <c r="J153" t="s">
        <v>15</v>
      </c>
    </row>
    <row r="154" spans="1:10">
      <c r="A154" s="2" t="str">
        <f>"151"</f>
        <v>151</v>
      </c>
      <c r="B154" s="2" t="s">
        <v>9</v>
      </c>
      <c r="C154" s="2" t="str">
        <f>"1 (1)"</f>
        <v>1 (1)</v>
      </c>
      <c r="D154" s="2" t="s">
        <v>506</v>
      </c>
      <c r="E154" s="5" t="s">
        <v>507</v>
      </c>
      <c r="F154" s="3" t="s">
        <v>508</v>
      </c>
      <c r="G154" s="3" t="s">
        <v>509</v>
      </c>
      <c r="H154" s="2" t="str">
        <f>"2012"</f>
        <v>2012</v>
      </c>
      <c r="I154" t="s">
        <v>14</v>
      </c>
      <c r="J154" t="s">
        <v>15</v>
      </c>
    </row>
    <row r="155" spans="1:10">
      <c r="A155" s="2" t="str">
        <f>"152"</f>
        <v>152</v>
      </c>
      <c r="B155" s="2" t="s">
        <v>9</v>
      </c>
      <c r="C155" s="2" t="str">
        <f>"1 (1)"</f>
        <v>1 (1)</v>
      </c>
      <c r="D155" s="2" t="s">
        <v>510</v>
      </c>
      <c r="E155" s="5" t="s">
        <v>511</v>
      </c>
      <c r="F155" s="3" t="s">
        <v>512</v>
      </c>
      <c r="G155" s="3" t="s">
        <v>513</v>
      </c>
      <c r="H155" s="2" t="str">
        <f>"2012"</f>
        <v>2012</v>
      </c>
      <c r="I155" t="s">
        <v>14</v>
      </c>
      <c r="J155" t="s">
        <v>15</v>
      </c>
    </row>
    <row r="156" spans="1:10">
      <c r="A156" s="2" t="str">
        <f>"153"</f>
        <v>153</v>
      </c>
      <c r="B156" s="2" t="s">
        <v>9</v>
      </c>
      <c r="C156" s="2" t="str">
        <f>"1 (1)"</f>
        <v>1 (1)</v>
      </c>
      <c r="D156" s="2" t="s">
        <v>514</v>
      </c>
      <c r="E156" s="5" t="s">
        <v>515</v>
      </c>
      <c r="F156" s="3" t="s">
        <v>516</v>
      </c>
      <c r="G156" s="3" t="s">
        <v>517</v>
      </c>
      <c r="H156" s="2" t="str">
        <f>"2012"</f>
        <v>2012</v>
      </c>
      <c r="I156" t="s">
        <v>14</v>
      </c>
      <c r="J156" t="s">
        <v>15</v>
      </c>
    </row>
    <row r="157" spans="1:10">
      <c r="A157" s="2" t="str">
        <f>"154"</f>
        <v>154</v>
      </c>
      <c r="B157" s="2" t="s">
        <v>9</v>
      </c>
      <c r="C157" s="2" t="str">
        <f>"1 (1)"</f>
        <v>1 (1)</v>
      </c>
      <c r="D157" s="2" t="s">
        <v>518</v>
      </c>
      <c r="E157" s="5" t="s">
        <v>519</v>
      </c>
      <c r="F157" s="3" t="s">
        <v>520</v>
      </c>
      <c r="G157" s="3" t="s">
        <v>517</v>
      </c>
      <c r="H157" s="2" t="str">
        <f>"2012"</f>
        <v>2012</v>
      </c>
      <c r="I157" t="s">
        <v>14</v>
      </c>
      <c r="J157" t="s">
        <v>15</v>
      </c>
    </row>
    <row r="158" spans="1:10">
      <c r="A158" s="2" t="str">
        <f>"155"</f>
        <v>155</v>
      </c>
      <c r="B158" s="2" t="s">
        <v>9</v>
      </c>
      <c r="C158" s="2" t="str">
        <f>"1 (1)"</f>
        <v>1 (1)</v>
      </c>
      <c r="D158" s="2" t="s">
        <v>521</v>
      </c>
      <c r="E158" s="5" t="s">
        <v>522</v>
      </c>
      <c r="F158" s="3" t="s">
        <v>523</v>
      </c>
      <c r="G158" s="3" t="s">
        <v>517</v>
      </c>
      <c r="H158" s="2" t="str">
        <f>"2012"</f>
        <v>2012</v>
      </c>
      <c r="I158" t="s">
        <v>14</v>
      </c>
      <c r="J158" t="s">
        <v>15</v>
      </c>
    </row>
    <row r="159" spans="1:10">
      <c r="A159" s="2" t="str">
        <f>"156"</f>
        <v>156</v>
      </c>
      <c r="B159" s="2" t="s">
        <v>9</v>
      </c>
      <c r="C159" s="2" t="str">
        <f>"1 (1)"</f>
        <v>1 (1)</v>
      </c>
      <c r="D159" s="2" t="s">
        <v>524</v>
      </c>
      <c r="E159" s="5" t="s">
        <v>525</v>
      </c>
      <c r="F159" s="3" t="s">
        <v>526</v>
      </c>
      <c r="G159" s="3" t="s">
        <v>527</v>
      </c>
      <c r="H159" s="2" t="str">
        <f>"2010"</f>
        <v>2010</v>
      </c>
      <c r="I159" t="s">
        <v>14</v>
      </c>
      <c r="J159" t="s">
        <v>15</v>
      </c>
    </row>
    <row r="160" spans="1:10">
      <c r="A160" s="2" t="str">
        <f>"157"</f>
        <v>157</v>
      </c>
      <c r="B160" s="2" t="s">
        <v>9</v>
      </c>
      <c r="C160" s="2" t="str">
        <f>"1 (1)"</f>
        <v>1 (1)</v>
      </c>
      <c r="D160" s="2" t="s">
        <v>528</v>
      </c>
      <c r="E160" s="5" t="s">
        <v>529</v>
      </c>
      <c r="F160" s="3" t="s">
        <v>526</v>
      </c>
      <c r="G160" s="3" t="s">
        <v>527</v>
      </c>
      <c r="H160" s="2" t="str">
        <f>"2011"</f>
        <v>2011</v>
      </c>
      <c r="I160" t="s">
        <v>14</v>
      </c>
      <c r="J160" t="s">
        <v>15</v>
      </c>
    </row>
    <row r="161" spans="1:10">
      <c r="A161" s="2" t="str">
        <f>"158"</f>
        <v>158</v>
      </c>
      <c r="B161" s="2" t="s">
        <v>9</v>
      </c>
      <c r="C161" s="2" t="str">
        <f>"1 (1)"</f>
        <v>1 (1)</v>
      </c>
      <c r="D161" s="2" t="s">
        <v>530</v>
      </c>
      <c r="E161" s="5" t="s">
        <v>531</v>
      </c>
      <c r="F161" s="3" t="s">
        <v>526</v>
      </c>
      <c r="G161" s="3" t="s">
        <v>527</v>
      </c>
      <c r="H161" s="2" t="str">
        <f>"2010"</f>
        <v>2010</v>
      </c>
      <c r="I161" t="s">
        <v>14</v>
      </c>
      <c r="J161" t="s">
        <v>15</v>
      </c>
    </row>
    <row r="162" spans="1:10">
      <c r="A162" s="2" t="str">
        <f>"159"</f>
        <v>159</v>
      </c>
      <c r="B162" s="2" t="s">
        <v>9</v>
      </c>
      <c r="C162" s="2" t="str">
        <f>"1 (1)"</f>
        <v>1 (1)</v>
      </c>
      <c r="D162" s="2" t="s">
        <v>532</v>
      </c>
      <c r="E162" s="5" t="s">
        <v>533</v>
      </c>
      <c r="F162" s="3" t="s">
        <v>526</v>
      </c>
      <c r="G162" s="3" t="s">
        <v>527</v>
      </c>
      <c r="H162" s="2" t="str">
        <f>"2010"</f>
        <v>2010</v>
      </c>
      <c r="I162" t="s">
        <v>14</v>
      </c>
      <c r="J162" t="s">
        <v>15</v>
      </c>
    </row>
    <row r="163" spans="1:10">
      <c r="A163" s="2" t="str">
        <f>"160"</f>
        <v>160</v>
      </c>
      <c r="B163" s="2" t="s">
        <v>9</v>
      </c>
      <c r="C163" s="2" t="str">
        <f>"1 (1)"</f>
        <v>1 (1)</v>
      </c>
      <c r="D163" s="2" t="s">
        <v>534</v>
      </c>
      <c r="E163" s="5" t="s">
        <v>535</v>
      </c>
      <c r="F163" s="3" t="s">
        <v>526</v>
      </c>
      <c r="G163" s="3" t="s">
        <v>527</v>
      </c>
      <c r="H163" s="2" t="str">
        <f>"2010"</f>
        <v>2010</v>
      </c>
      <c r="I163" t="s">
        <v>14</v>
      </c>
      <c r="J163" t="s">
        <v>15</v>
      </c>
    </row>
    <row r="164" spans="1:10">
      <c r="A164" s="2" t="str">
        <f>"161"</f>
        <v>161</v>
      </c>
      <c r="B164" s="2" t="s">
        <v>9</v>
      </c>
      <c r="C164" s="2" t="str">
        <f>"1 (1)"</f>
        <v>1 (1)</v>
      </c>
      <c r="D164" s="2" t="s">
        <v>536</v>
      </c>
      <c r="E164" s="5" t="s">
        <v>537</v>
      </c>
      <c r="F164" s="3" t="s">
        <v>526</v>
      </c>
      <c r="G164" s="3" t="s">
        <v>527</v>
      </c>
      <c r="H164" s="2" t="str">
        <f>"2011"</f>
        <v>2011</v>
      </c>
      <c r="I164" t="s">
        <v>14</v>
      </c>
      <c r="J164" t="s">
        <v>15</v>
      </c>
    </row>
    <row r="165" spans="1:10">
      <c r="A165" s="2" t="str">
        <f>"162"</f>
        <v>162</v>
      </c>
      <c r="B165" s="2" t="s">
        <v>9</v>
      </c>
      <c r="C165" s="2" t="str">
        <f>"1 (1)"</f>
        <v>1 (1)</v>
      </c>
      <c r="D165" s="2" t="s">
        <v>538</v>
      </c>
      <c r="E165" s="5" t="s">
        <v>539</v>
      </c>
      <c r="F165" s="3" t="s">
        <v>526</v>
      </c>
      <c r="G165" s="3" t="s">
        <v>527</v>
      </c>
      <c r="H165" s="2" t="str">
        <f>"2011"</f>
        <v>2011</v>
      </c>
      <c r="I165" t="s">
        <v>14</v>
      </c>
      <c r="J165" t="s">
        <v>15</v>
      </c>
    </row>
    <row r="166" spans="1:10">
      <c r="A166" s="2" t="str">
        <f>"163"</f>
        <v>163</v>
      </c>
      <c r="B166" s="2" t="s">
        <v>9</v>
      </c>
      <c r="C166" s="2" t="str">
        <f>"1 (1)"</f>
        <v>1 (1)</v>
      </c>
      <c r="D166" s="2" t="s">
        <v>540</v>
      </c>
      <c r="E166" s="5" t="s">
        <v>541</v>
      </c>
      <c r="F166" s="3" t="s">
        <v>526</v>
      </c>
      <c r="G166" s="3" t="s">
        <v>527</v>
      </c>
      <c r="H166" s="2" t="str">
        <f>"2010"</f>
        <v>2010</v>
      </c>
      <c r="I166" t="s">
        <v>14</v>
      </c>
      <c r="J166" t="s">
        <v>15</v>
      </c>
    </row>
    <row r="167" spans="1:10">
      <c r="A167" s="2" t="str">
        <f>"164"</f>
        <v>164</v>
      </c>
      <c r="B167" s="2" t="s">
        <v>9</v>
      </c>
      <c r="C167" s="2" t="str">
        <f>"1 (1)"</f>
        <v>1 (1)</v>
      </c>
      <c r="D167" s="2" t="s">
        <v>542</v>
      </c>
      <c r="E167" s="5" t="s">
        <v>543</v>
      </c>
      <c r="F167" s="3" t="s">
        <v>526</v>
      </c>
      <c r="G167" s="3" t="s">
        <v>527</v>
      </c>
      <c r="H167" s="2" t="str">
        <f>"2011"</f>
        <v>2011</v>
      </c>
      <c r="I167" t="s">
        <v>14</v>
      </c>
      <c r="J167" t="s">
        <v>15</v>
      </c>
    </row>
    <row r="168" spans="1:10">
      <c r="A168" s="2" t="str">
        <f>"165"</f>
        <v>165</v>
      </c>
      <c r="B168" s="2" t="s">
        <v>9</v>
      </c>
      <c r="C168" s="2" t="str">
        <f>"1 (1)"</f>
        <v>1 (1)</v>
      </c>
      <c r="D168" s="2" t="s">
        <v>544</v>
      </c>
      <c r="E168" s="5" t="s">
        <v>545</v>
      </c>
      <c r="F168" s="3" t="s">
        <v>526</v>
      </c>
      <c r="G168" s="3" t="s">
        <v>527</v>
      </c>
      <c r="H168" s="2" t="str">
        <f>"2011"</f>
        <v>2011</v>
      </c>
      <c r="I168" t="s">
        <v>14</v>
      </c>
      <c r="J168" t="s">
        <v>15</v>
      </c>
    </row>
    <row r="169" spans="1:10">
      <c r="A169" s="2" t="str">
        <f>"166"</f>
        <v>166</v>
      </c>
      <c r="B169" s="2" t="s">
        <v>9</v>
      </c>
      <c r="C169" s="2" t="str">
        <f>"1 (1)"</f>
        <v>1 (1)</v>
      </c>
      <c r="D169" s="2" t="s">
        <v>546</v>
      </c>
      <c r="E169" s="5" t="s">
        <v>547</v>
      </c>
      <c r="F169" s="3" t="s">
        <v>526</v>
      </c>
      <c r="G169" s="3" t="s">
        <v>527</v>
      </c>
      <c r="H169" s="2" t="str">
        <f>"2011"</f>
        <v>2011</v>
      </c>
      <c r="I169" t="s">
        <v>14</v>
      </c>
      <c r="J169" t="s">
        <v>15</v>
      </c>
    </row>
    <row r="170" spans="1:10">
      <c r="A170" s="2" t="str">
        <f>"167"</f>
        <v>167</v>
      </c>
      <c r="B170" s="2" t="s">
        <v>9</v>
      </c>
      <c r="C170" s="2" t="str">
        <f>"1 (1)"</f>
        <v>1 (1)</v>
      </c>
      <c r="D170" s="2" t="s">
        <v>548</v>
      </c>
      <c r="E170" s="5" t="s">
        <v>549</v>
      </c>
      <c r="F170" s="3" t="s">
        <v>526</v>
      </c>
      <c r="G170" s="3" t="s">
        <v>527</v>
      </c>
      <c r="H170" s="2" t="str">
        <f>"2011"</f>
        <v>2011</v>
      </c>
      <c r="I170" t="s">
        <v>14</v>
      </c>
      <c r="J170" t="s">
        <v>15</v>
      </c>
    </row>
    <row r="171" spans="1:10">
      <c r="A171" s="2" t="str">
        <f>"168"</f>
        <v>168</v>
      </c>
      <c r="B171" s="2" t="s">
        <v>9</v>
      </c>
      <c r="C171" s="2" t="str">
        <f>"1 (1)"</f>
        <v>1 (1)</v>
      </c>
      <c r="D171" s="2" t="s">
        <v>550</v>
      </c>
      <c r="E171" s="5" t="s">
        <v>551</v>
      </c>
      <c r="F171" s="3" t="s">
        <v>552</v>
      </c>
      <c r="G171" s="3" t="s">
        <v>527</v>
      </c>
      <c r="H171" s="2" t="str">
        <f>"2012"</f>
        <v>2012</v>
      </c>
      <c r="I171" t="s">
        <v>14</v>
      </c>
      <c r="J171" t="s">
        <v>15</v>
      </c>
    </row>
    <row r="172" spans="1:10">
      <c r="A172" s="2" t="str">
        <f>"169"</f>
        <v>169</v>
      </c>
      <c r="B172" s="2" t="s">
        <v>9</v>
      </c>
      <c r="C172" s="2" t="str">
        <f>"1 (1)"</f>
        <v>1 (1)</v>
      </c>
      <c r="D172" s="2" t="s">
        <v>553</v>
      </c>
      <c r="E172" s="5" t="s">
        <v>554</v>
      </c>
      <c r="F172" s="3" t="s">
        <v>526</v>
      </c>
      <c r="G172" s="3" t="s">
        <v>527</v>
      </c>
      <c r="H172" s="2" t="str">
        <f>"2012"</f>
        <v>2012</v>
      </c>
      <c r="I172" t="s">
        <v>14</v>
      </c>
      <c r="J172" t="s">
        <v>15</v>
      </c>
    </row>
    <row r="173" spans="1:10">
      <c r="A173" s="2" t="str">
        <f>"170"</f>
        <v>170</v>
      </c>
      <c r="B173" s="2" t="s">
        <v>9</v>
      </c>
      <c r="C173" s="2" t="str">
        <f>"1 (1)"</f>
        <v>1 (1)</v>
      </c>
      <c r="D173" s="2" t="s">
        <v>555</v>
      </c>
      <c r="E173" s="5" t="s">
        <v>556</v>
      </c>
      <c r="F173" s="3" t="s">
        <v>526</v>
      </c>
      <c r="G173" s="3" t="s">
        <v>527</v>
      </c>
      <c r="H173" s="2" t="str">
        <f>"2012"</f>
        <v>2012</v>
      </c>
      <c r="I173" t="s">
        <v>14</v>
      </c>
      <c r="J173" t="s">
        <v>15</v>
      </c>
    </row>
    <row r="174" spans="1:10">
      <c r="A174" s="2" t="str">
        <f>"171"</f>
        <v>171</v>
      </c>
      <c r="B174" s="2" t="s">
        <v>9</v>
      </c>
      <c r="C174" s="2" t="str">
        <f>"1 (1)"</f>
        <v>1 (1)</v>
      </c>
      <c r="D174" s="2" t="s">
        <v>557</v>
      </c>
      <c r="E174" s="5" t="s">
        <v>558</v>
      </c>
      <c r="F174" s="3" t="s">
        <v>559</v>
      </c>
      <c r="G174" s="3" t="s">
        <v>560</v>
      </c>
      <c r="H174" s="2" t="str">
        <f>"2012"</f>
        <v>2012</v>
      </c>
      <c r="I174" t="s">
        <v>14</v>
      </c>
      <c r="J174" t="s">
        <v>15</v>
      </c>
    </row>
    <row r="175" spans="1:10">
      <c r="A175" s="2" t="str">
        <f>"172"</f>
        <v>172</v>
      </c>
      <c r="B175" s="2" t="s">
        <v>9</v>
      </c>
      <c r="C175" s="2" t="str">
        <f>"1 (1)"</f>
        <v>1 (1)</v>
      </c>
      <c r="D175" s="2" t="s">
        <v>561</v>
      </c>
      <c r="E175" s="5" t="s">
        <v>562</v>
      </c>
      <c r="F175" s="3" t="s">
        <v>563</v>
      </c>
      <c r="G175" s="3" t="s">
        <v>564</v>
      </c>
      <c r="H175" s="2" t="str">
        <f>"2012"</f>
        <v>2012</v>
      </c>
      <c r="I175" t="s">
        <v>14</v>
      </c>
      <c r="J175" t="s">
        <v>15</v>
      </c>
    </row>
    <row r="176" spans="1:10">
      <c r="A176" s="2" t="str">
        <f>"173"</f>
        <v>173</v>
      </c>
      <c r="B176" s="2" t="s">
        <v>9</v>
      </c>
      <c r="C176" s="2" t="str">
        <f>"1 (1)"</f>
        <v>1 (1)</v>
      </c>
      <c r="D176" s="2" t="s">
        <v>565</v>
      </c>
      <c r="E176" s="5" t="s">
        <v>566</v>
      </c>
      <c r="F176" s="3" t="s">
        <v>563</v>
      </c>
      <c r="G176" s="3" t="s">
        <v>564</v>
      </c>
      <c r="H176" s="2" t="str">
        <f>"2012"</f>
        <v>2012</v>
      </c>
      <c r="I176" t="s">
        <v>14</v>
      </c>
      <c r="J176" t="s">
        <v>15</v>
      </c>
    </row>
    <row r="177" spans="1:10">
      <c r="A177" s="2" t="str">
        <f>"174"</f>
        <v>174</v>
      </c>
      <c r="B177" s="2" t="s">
        <v>9</v>
      </c>
      <c r="C177" s="2" t="str">
        <f>"1 (1)"</f>
        <v>1 (1)</v>
      </c>
      <c r="D177" s="2" t="s">
        <v>567</v>
      </c>
      <c r="E177" s="5" t="s">
        <v>568</v>
      </c>
      <c r="F177" s="3" t="s">
        <v>569</v>
      </c>
      <c r="G177" s="3" t="s">
        <v>564</v>
      </c>
      <c r="H177" s="2" t="str">
        <f>"2011"</f>
        <v>2011</v>
      </c>
      <c r="I177" t="s">
        <v>14</v>
      </c>
      <c r="J177" t="s">
        <v>15</v>
      </c>
    </row>
    <row r="178" spans="1:10">
      <c r="A178" s="2" t="str">
        <f>"175"</f>
        <v>175</v>
      </c>
      <c r="B178" s="2" t="s">
        <v>9</v>
      </c>
      <c r="C178" s="2" t="str">
        <f>"1 (1)"</f>
        <v>1 (1)</v>
      </c>
      <c r="D178" s="2" t="s">
        <v>570</v>
      </c>
      <c r="E178" s="5" t="s">
        <v>571</v>
      </c>
      <c r="F178" s="3" t="s">
        <v>569</v>
      </c>
      <c r="G178" s="3" t="s">
        <v>564</v>
      </c>
      <c r="H178" s="2" t="str">
        <f>"2011"</f>
        <v>2011</v>
      </c>
      <c r="I178" t="s">
        <v>14</v>
      </c>
      <c r="J178" t="s">
        <v>15</v>
      </c>
    </row>
    <row r="179" spans="1:10">
      <c r="A179" s="2" t="str">
        <f>"176"</f>
        <v>176</v>
      </c>
      <c r="B179" s="2" t="s">
        <v>9</v>
      </c>
      <c r="C179" s="2" t="str">
        <f>"1 (1)"</f>
        <v>1 (1)</v>
      </c>
      <c r="D179" s="2" t="s">
        <v>572</v>
      </c>
      <c r="E179" s="5" t="s">
        <v>573</v>
      </c>
      <c r="F179" s="3" t="s">
        <v>574</v>
      </c>
      <c r="G179" s="3" t="s">
        <v>564</v>
      </c>
      <c r="H179" s="2" t="str">
        <f>"2011"</f>
        <v>2011</v>
      </c>
      <c r="I179" t="s">
        <v>14</v>
      </c>
      <c r="J179" t="s">
        <v>15</v>
      </c>
    </row>
    <row r="180" spans="1:10">
      <c r="A180" s="2" t="str">
        <f>"177"</f>
        <v>177</v>
      </c>
      <c r="B180" s="2" t="s">
        <v>9</v>
      </c>
      <c r="C180" s="2" t="str">
        <f>"1 (1)"</f>
        <v>1 (1)</v>
      </c>
      <c r="D180" s="2" t="s">
        <v>575</v>
      </c>
      <c r="E180" s="5" t="s">
        <v>576</v>
      </c>
      <c r="F180" s="3" t="s">
        <v>577</v>
      </c>
      <c r="G180" s="3" t="s">
        <v>564</v>
      </c>
      <c r="H180" s="2" t="str">
        <f>"2011"</f>
        <v>2011</v>
      </c>
      <c r="I180" t="s">
        <v>14</v>
      </c>
      <c r="J180" t="s">
        <v>15</v>
      </c>
    </row>
    <row r="181" spans="1:10">
      <c r="A181" s="2" t="str">
        <f>"178"</f>
        <v>178</v>
      </c>
      <c r="B181" s="2" t="s">
        <v>9</v>
      </c>
      <c r="C181" s="2" t="str">
        <f>"1 (1)"</f>
        <v>1 (1)</v>
      </c>
      <c r="D181" s="2" t="s">
        <v>578</v>
      </c>
      <c r="E181" s="5" t="s">
        <v>579</v>
      </c>
      <c r="F181" s="3" t="s">
        <v>577</v>
      </c>
      <c r="G181" s="3" t="s">
        <v>564</v>
      </c>
      <c r="H181" s="2" t="str">
        <f>"2011"</f>
        <v>2011</v>
      </c>
      <c r="I181" t="s">
        <v>14</v>
      </c>
      <c r="J181" t="s">
        <v>15</v>
      </c>
    </row>
    <row r="182" spans="1:10">
      <c r="A182" s="2" t="str">
        <f>"179"</f>
        <v>179</v>
      </c>
      <c r="B182" s="2" t="s">
        <v>9</v>
      </c>
      <c r="C182" s="2" t="str">
        <f>"1 (1)"</f>
        <v>1 (1)</v>
      </c>
      <c r="D182" s="2" t="s">
        <v>580</v>
      </c>
      <c r="E182" s="5" t="s">
        <v>581</v>
      </c>
      <c r="F182" s="3" t="s">
        <v>569</v>
      </c>
      <c r="G182" s="3" t="s">
        <v>564</v>
      </c>
      <c r="H182" s="2" t="str">
        <f>"2012"</f>
        <v>2012</v>
      </c>
      <c r="I182" t="s">
        <v>14</v>
      </c>
      <c r="J182" t="s">
        <v>15</v>
      </c>
    </row>
    <row r="183" spans="1:10">
      <c r="A183" s="2" t="str">
        <f>"180"</f>
        <v>180</v>
      </c>
      <c r="B183" s="2" t="s">
        <v>9</v>
      </c>
      <c r="C183" s="2" t="str">
        <f>"1 (1)"</f>
        <v>1 (1)</v>
      </c>
      <c r="D183" s="2" t="s">
        <v>582</v>
      </c>
      <c r="E183" s="5" t="s">
        <v>583</v>
      </c>
      <c r="F183" s="3" t="s">
        <v>569</v>
      </c>
      <c r="G183" s="3" t="s">
        <v>564</v>
      </c>
      <c r="H183" s="2" t="str">
        <f>"2012"</f>
        <v>2012</v>
      </c>
      <c r="I183" t="s">
        <v>14</v>
      </c>
      <c r="J183" t="s">
        <v>15</v>
      </c>
    </row>
    <row r="184" spans="1:10">
      <c r="A184" s="2" t="str">
        <f>"181"</f>
        <v>181</v>
      </c>
      <c r="B184" s="2" t="s">
        <v>9</v>
      </c>
      <c r="C184" s="2" t="str">
        <f>"1 (1)"</f>
        <v>1 (1)</v>
      </c>
      <c r="D184" s="2" t="s">
        <v>584</v>
      </c>
      <c r="E184" s="5" t="s">
        <v>585</v>
      </c>
      <c r="F184" s="3" t="s">
        <v>577</v>
      </c>
      <c r="G184" s="3" t="s">
        <v>564</v>
      </c>
      <c r="H184" s="2" t="str">
        <f>"2012"</f>
        <v>2012</v>
      </c>
      <c r="I184" t="s">
        <v>14</v>
      </c>
      <c r="J184" t="s">
        <v>15</v>
      </c>
    </row>
    <row r="185" spans="1:10">
      <c r="A185" s="2" t="str">
        <f>"182"</f>
        <v>182</v>
      </c>
      <c r="B185" s="2" t="s">
        <v>9</v>
      </c>
      <c r="C185" s="2" t="str">
        <f>"1 (1)"</f>
        <v>1 (1)</v>
      </c>
      <c r="D185" s="2" t="s">
        <v>586</v>
      </c>
      <c r="E185" s="5" t="s">
        <v>587</v>
      </c>
      <c r="F185" s="3" t="s">
        <v>588</v>
      </c>
      <c r="G185" s="3" t="s">
        <v>564</v>
      </c>
      <c r="H185" s="2" t="str">
        <f>"2012"</f>
        <v>2012</v>
      </c>
      <c r="I185" t="s">
        <v>14</v>
      </c>
      <c r="J185" t="s">
        <v>15</v>
      </c>
    </row>
    <row r="186" spans="1:10">
      <c r="A186" s="2" t="str">
        <f>"183"</f>
        <v>183</v>
      </c>
      <c r="B186" s="2" t="s">
        <v>9</v>
      </c>
      <c r="C186" s="2" t="str">
        <f>"1 (1)"</f>
        <v>1 (1)</v>
      </c>
      <c r="D186" s="2" t="s">
        <v>589</v>
      </c>
      <c r="E186" s="5" t="s">
        <v>590</v>
      </c>
      <c r="F186" s="3" t="s">
        <v>588</v>
      </c>
      <c r="G186" s="3" t="s">
        <v>564</v>
      </c>
      <c r="H186" s="2" t="str">
        <f>"2012"</f>
        <v>2012</v>
      </c>
      <c r="I186" t="s">
        <v>14</v>
      </c>
      <c r="J186" t="s">
        <v>15</v>
      </c>
    </row>
    <row r="187" spans="1:10">
      <c r="A187" s="2" t="str">
        <f>"184"</f>
        <v>184</v>
      </c>
      <c r="B187" s="2" t="s">
        <v>9</v>
      </c>
      <c r="C187" s="2" t="str">
        <f>"1 (1)"</f>
        <v>1 (1)</v>
      </c>
      <c r="D187" s="2" t="s">
        <v>591</v>
      </c>
      <c r="E187" s="5" t="s">
        <v>592</v>
      </c>
      <c r="F187" s="3" t="s">
        <v>593</v>
      </c>
      <c r="G187" s="3" t="s">
        <v>257</v>
      </c>
      <c r="H187" s="2" t="str">
        <f>"2012"</f>
        <v>2012</v>
      </c>
      <c r="I187" t="s">
        <v>14</v>
      </c>
      <c r="J187" t="s">
        <v>15</v>
      </c>
    </row>
    <row r="188" spans="1:10">
      <c r="A188" s="2" t="str">
        <f>"185"</f>
        <v>185</v>
      </c>
      <c r="B188" s="2" t="s">
        <v>9</v>
      </c>
      <c r="C188" s="2" t="str">
        <f>"1 (1)"</f>
        <v>1 (1)</v>
      </c>
      <c r="D188" s="2" t="s">
        <v>594</v>
      </c>
      <c r="E188" s="5" t="s">
        <v>595</v>
      </c>
      <c r="F188" s="3" t="s">
        <v>266</v>
      </c>
      <c r="G188" s="3" t="s">
        <v>257</v>
      </c>
      <c r="H188" s="2" t="str">
        <f>"2012"</f>
        <v>2012</v>
      </c>
      <c r="I188" t="s">
        <v>14</v>
      </c>
      <c r="J188" t="s">
        <v>15</v>
      </c>
    </row>
    <row r="189" spans="1:10">
      <c r="A189" s="2" t="str">
        <f>"186"</f>
        <v>186</v>
      </c>
      <c r="B189" s="2" t="s">
        <v>9</v>
      </c>
      <c r="C189" s="2" t="str">
        <f>"1 (1)"</f>
        <v>1 (1)</v>
      </c>
      <c r="D189" s="2" t="s">
        <v>596</v>
      </c>
      <c r="E189" s="5" t="s">
        <v>597</v>
      </c>
      <c r="F189" s="3" t="s">
        <v>598</v>
      </c>
      <c r="G189" s="3" t="s">
        <v>257</v>
      </c>
      <c r="H189" s="2" t="str">
        <f>"2012"</f>
        <v>2012</v>
      </c>
      <c r="I189" t="s">
        <v>14</v>
      </c>
      <c r="J189" t="s">
        <v>15</v>
      </c>
    </row>
    <row r="190" spans="1:10">
      <c r="A190" s="2" t="str">
        <f>"187"</f>
        <v>187</v>
      </c>
      <c r="B190" s="2" t="s">
        <v>9</v>
      </c>
      <c r="C190" s="2" t="str">
        <f>"1 (1)"</f>
        <v>1 (1)</v>
      </c>
      <c r="D190" s="2" t="s">
        <v>599</v>
      </c>
      <c r="E190" s="5" t="s">
        <v>600</v>
      </c>
      <c r="F190" s="3" t="s">
        <v>601</v>
      </c>
      <c r="G190" s="3" t="s">
        <v>257</v>
      </c>
      <c r="H190" s="2" t="str">
        <f>"2012"</f>
        <v>2012</v>
      </c>
      <c r="I190" t="s">
        <v>14</v>
      </c>
      <c r="J190" t="s">
        <v>15</v>
      </c>
    </row>
    <row r="191" spans="1:10">
      <c r="A191" s="2" t="str">
        <f>"188"</f>
        <v>188</v>
      </c>
      <c r="B191" s="2" t="s">
        <v>9</v>
      </c>
      <c r="C191" s="2" t="str">
        <f>"1 (1)"</f>
        <v>1 (1)</v>
      </c>
      <c r="D191" s="2" t="s">
        <v>602</v>
      </c>
      <c r="E191" s="5" t="s">
        <v>603</v>
      </c>
      <c r="F191" s="3" t="s">
        <v>604</v>
      </c>
      <c r="G191" s="3" t="s">
        <v>605</v>
      </c>
      <c r="H191" s="2" t="str">
        <f>"2012"</f>
        <v>2012</v>
      </c>
      <c r="I191" t="s">
        <v>14</v>
      </c>
      <c r="J191" t="s">
        <v>15</v>
      </c>
    </row>
    <row r="192" spans="1:10">
      <c r="A192" s="2" t="str">
        <f>"189"</f>
        <v>189</v>
      </c>
      <c r="B192" s="2" t="s">
        <v>9</v>
      </c>
      <c r="C192" s="2" t="str">
        <f>"1 (1)"</f>
        <v>1 (1)</v>
      </c>
      <c r="D192" s="2" t="s">
        <v>606</v>
      </c>
      <c r="E192" s="5" t="s">
        <v>607</v>
      </c>
      <c r="F192" s="3" t="s">
        <v>608</v>
      </c>
      <c r="G192" s="3" t="s">
        <v>609</v>
      </c>
      <c r="H192" s="2" t="str">
        <f>"2012"</f>
        <v>2012</v>
      </c>
      <c r="I192" t="s">
        <v>14</v>
      </c>
      <c r="J192" t="s">
        <v>15</v>
      </c>
    </row>
    <row r="193" spans="1:10">
      <c r="A193" s="2" t="str">
        <f>"190"</f>
        <v>190</v>
      </c>
      <c r="B193" s="2" t="s">
        <v>9</v>
      </c>
      <c r="C193" s="2" t="str">
        <f>"1 (1)"</f>
        <v>1 (1)</v>
      </c>
      <c r="D193" s="2" t="s">
        <v>610</v>
      </c>
      <c r="E193" s="5" t="s">
        <v>611</v>
      </c>
      <c r="F193" s="3" t="s">
        <v>612</v>
      </c>
      <c r="G193" s="3" t="s">
        <v>613</v>
      </c>
      <c r="H193" s="2" t="str">
        <f>"2012"</f>
        <v>2012</v>
      </c>
      <c r="I193" t="s">
        <v>14</v>
      </c>
      <c r="J193" t="s">
        <v>15</v>
      </c>
    </row>
    <row r="194" spans="1:10">
      <c r="A194" s="2" t="str">
        <f>"191"</f>
        <v>191</v>
      </c>
      <c r="B194" s="2" t="s">
        <v>9</v>
      </c>
      <c r="C194" s="2" t="str">
        <f>"1 (1)"</f>
        <v>1 (1)</v>
      </c>
      <c r="D194" s="2" t="s">
        <v>614</v>
      </c>
      <c r="E194" s="5" t="s">
        <v>615</v>
      </c>
      <c r="F194" s="3" t="s">
        <v>616</v>
      </c>
      <c r="G194" s="3" t="s">
        <v>617</v>
      </c>
      <c r="H194" s="2" t="str">
        <f>"2012"</f>
        <v>2012</v>
      </c>
      <c r="I194" t="s">
        <v>14</v>
      </c>
      <c r="J194" t="s">
        <v>15</v>
      </c>
    </row>
    <row r="195" spans="1:10">
      <c r="A195" s="2" t="str">
        <f>"192"</f>
        <v>192</v>
      </c>
      <c r="B195" s="2" t="s">
        <v>9</v>
      </c>
      <c r="C195" s="2" t="str">
        <f>"1 (1)"</f>
        <v>1 (1)</v>
      </c>
      <c r="D195" s="2" t="s">
        <v>618</v>
      </c>
      <c r="E195" s="5" t="s">
        <v>619</v>
      </c>
      <c r="F195" s="3" t="s">
        <v>620</v>
      </c>
      <c r="G195" s="3" t="s">
        <v>621</v>
      </c>
      <c r="H195" s="2" t="str">
        <f>"2012"</f>
        <v>2012</v>
      </c>
      <c r="I195" t="s">
        <v>14</v>
      </c>
      <c r="J195" t="s">
        <v>15</v>
      </c>
    </row>
    <row r="196" spans="1:10">
      <c r="A196" s="2" t="str">
        <f>"193"</f>
        <v>193</v>
      </c>
      <c r="B196" s="2" t="s">
        <v>9</v>
      </c>
      <c r="C196" s="2" t="str">
        <f>"1 (1)"</f>
        <v>1 (1)</v>
      </c>
      <c r="D196" s="2" t="s">
        <v>622</v>
      </c>
      <c r="E196" s="5" t="s">
        <v>623</v>
      </c>
      <c r="F196" s="3" t="s">
        <v>620</v>
      </c>
      <c r="G196" s="3" t="s">
        <v>621</v>
      </c>
      <c r="H196" s="2" t="str">
        <f>"2012"</f>
        <v>2012</v>
      </c>
      <c r="I196" t="s">
        <v>14</v>
      </c>
      <c r="J196" t="s">
        <v>15</v>
      </c>
    </row>
    <row r="197" spans="1:10">
      <c r="A197" s="2" t="str">
        <f>"194"</f>
        <v>194</v>
      </c>
      <c r="B197" s="2" t="s">
        <v>9</v>
      </c>
      <c r="C197" s="2" t="str">
        <f>"1 (1)"</f>
        <v>1 (1)</v>
      </c>
      <c r="D197" s="2" t="s">
        <v>624</v>
      </c>
      <c r="E197" s="5" t="s">
        <v>625</v>
      </c>
      <c r="F197" s="3" t="s">
        <v>620</v>
      </c>
      <c r="G197" s="3" t="s">
        <v>621</v>
      </c>
      <c r="H197" s="2" t="str">
        <f>"2012"</f>
        <v>2012</v>
      </c>
      <c r="I197" t="s">
        <v>14</v>
      </c>
      <c r="J197" t="s">
        <v>15</v>
      </c>
    </row>
    <row r="198" spans="1:10">
      <c r="A198" s="2" t="str">
        <f>"195"</f>
        <v>195</v>
      </c>
      <c r="B198" s="2" t="s">
        <v>9</v>
      </c>
      <c r="C198" s="2" t="str">
        <f>"1 (1)"</f>
        <v>1 (1)</v>
      </c>
      <c r="D198" s="2" t="s">
        <v>626</v>
      </c>
      <c r="E198" s="5" t="s">
        <v>627</v>
      </c>
      <c r="F198" s="3" t="s">
        <v>620</v>
      </c>
      <c r="G198" s="3" t="s">
        <v>621</v>
      </c>
      <c r="H198" s="2" t="str">
        <f>"2012"</f>
        <v>2012</v>
      </c>
      <c r="I198" t="s">
        <v>14</v>
      </c>
      <c r="J198" t="s">
        <v>15</v>
      </c>
    </row>
    <row r="199" spans="1:10">
      <c r="A199" s="2" t="str">
        <f>"196"</f>
        <v>196</v>
      </c>
      <c r="B199" s="2" t="s">
        <v>9</v>
      </c>
      <c r="C199" s="2" t="str">
        <f>"1 (1)"</f>
        <v>1 (1)</v>
      </c>
      <c r="D199" s="2" t="s">
        <v>628</v>
      </c>
      <c r="E199" s="5" t="s">
        <v>629</v>
      </c>
      <c r="F199" s="3" t="s">
        <v>620</v>
      </c>
      <c r="G199" s="3" t="s">
        <v>621</v>
      </c>
      <c r="H199" s="2" t="str">
        <f>"2012"</f>
        <v>2012</v>
      </c>
      <c r="I199" t="s">
        <v>14</v>
      </c>
      <c r="J199" t="s">
        <v>15</v>
      </c>
    </row>
    <row r="200" spans="1:10">
      <c r="A200" s="2" t="str">
        <f>"197"</f>
        <v>197</v>
      </c>
      <c r="B200" s="2" t="s">
        <v>9</v>
      </c>
      <c r="C200" s="2" t="str">
        <f>"1 (1)"</f>
        <v>1 (1)</v>
      </c>
      <c r="D200" s="2" t="s">
        <v>630</v>
      </c>
      <c r="E200" s="5" t="s">
        <v>631</v>
      </c>
      <c r="F200" s="3" t="s">
        <v>620</v>
      </c>
      <c r="G200" s="3" t="s">
        <v>621</v>
      </c>
      <c r="H200" s="2" t="str">
        <f>"2012"</f>
        <v>2012</v>
      </c>
      <c r="I200" t="s">
        <v>14</v>
      </c>
      <c r="J200" t="s">
        <v>15</v>
      </c>
    </row>
    <row r="201" spans="1:10">
      <c r="A201" s="2" t="str">
        <f>"198"</f>
        <v>198</v>
      </c>
      <c r="B201" s="2" t="s">
        <v>9</v>
      </c>
      <c r="C201" s="2" t="str">
        <f>"1 (1)"</f>
        <v>1 (1)</v>
      </c>
      <c r="D201" s="2" t="s">
        <v>632</v>
      </c>
      <c r="E201" s="5" t="s">
        <v>633</v>
      </c>
      <c r="F201" s="3" t="s">
        <v>634</v>
      </c>
      <c r="G201" s="3" t="s">
        <v>635</v>
      </c>
      <c r="H201" s="2" t="str">
        <f>"2012"</f>
        <v>2012</v>
      </c>
      <c r="I201" t="s">
        <v>14</v>
      </c>
      <c r="J201" t="s">
        <v>15</v>
      </c>
    </row>
    <row r="202" spans="1:10">
      <c r="A202" s="2" t="str">
        <f>"199"</f>
        <v>199</v>
      </c>
      <c r="B202" s="2" t="s">
        <v>9</v>
      </c>
      <c r="C202" s="2" t="str">
        <f>"1 (1)"</f>
        <v>1 (1)</v>
      </c>
      <c r="D202" s="2" t="s">
        <v>636</v>
      </c>
      <c r="E202" s="5" t="s">
        <v>637</v>
      </c>
      <c r="F202" s="3" t="s">
        <v>638</v>
      </c>
      <c r="G202" s="3" t="s">
        <v>639</v>
      </c>
      <c r="H202" s="2" t="str">
        <f>"2012"</f>
        <v>2012</v>
      </c>
      <c r="I202" t="s">
        <v>14</v>
      </c>
      <c r="J202" t="s">
        <v>15</v>
      </c>
    </row>
    <row r="203" spans="1:10">
      <c r="A203" s="2" t="str">
        <f>"200"</f>
        <v>200</v>
      </c>
      <c r="B203" s="2" t="s">
        <v>9</v>
      </c>
      <c r="C203" s="2" t="str">
        <f>"1 (1)"</f>
        <v>1 (1)</v>
      </c>
      <c r="D203" s="2" t="s">
        <v>640</v>
      </c>
      <c r="E203" s="5" t="s">
        <v>641</v>
      </c>
      <c r="F203" s="3" t="s">
        <v>638</v>
      </c>
      <c r="G203" s="3" t="s">
        <v>639</v>
      </c>
      <c r="H203" s="2" t="str">
        <f>"2012"</f>
        <v>2012</v>
      </c>
      <c r="I203" t="s">
        <v>14</v>
      </c>
      <c r="J203" t="s">
        <v>15</v>
      </c>
    </row>
    <row r="204" spans="1:10">
      <c r="A204" s="2" t="str">
        <f>"201"</f>
        <v>201</v>
      </c>
      <c r="B204" s="2" t="s">
        <v>9</v>
      </c>
      <c r="C204" s="2" t="str">
        <f>"1 (1)"</f>
        <v>1 (1)</v>
      </c>
      <c r="D204" s="2" t="s">
        <v>642</v>
      </c>
      <c r="E204" s="5" t="s">
        <v>643</v>
      </c>
      <c r="F204" s="3" t="s">
        <v>644</v>
      </c>
      <c r="G204" s="3" t="s">
        <v>70</v>
      </c>
      <c r="H204" s="2" t="str">
        <f>"2012"</f>
        <v>2012</v>
      </c>
      <c r="I204" t="s">
        <v>14</v>
      </c>
      <c r="J204" t="s">
        <v>15</v>
      </c>
    </row>
    <row r="205" spans="1:10">
      <c r="A205" s="2" t="str">
        <f>"202"</f>
        <v>202</v>
      </c>
      <c r="B205" s="2" t="s">
        <v>9</v>
      </c>
      <c r="C205" s="2" t="str">
        <f>"1 (1)"</f>
        <v>1 (1)</v>
      </c>
      <c r="D205" s="2" t="s">
        <v>645</v>
      </c>
      <c r="E205" s="5" t="s">
        <v>646</v>
      </c>
      <c r="F205" s="3" t="s">
        <v>647</v>
      </c>
      <c r="G205" s="3" t="s">
        <v>648</v>
      </c>
      <c r="H205" s="2" t="str">
        <f>"2012"</f>
        <v>2012</v>
      </c>
      <c r="I205" t="s">
        <v>14</v>
      </c>
      <c r="J205" t="s">
        <v>15</v>
      </c>
    </row>
    <row r="206" spans="1:10">
      <c r="A206" s="2" t="str">
        <f>"203"</f>
        <v>203</v>
      </c>
      <c r="B206" s="2" t="s">
        <v>9</v>
      </c>
      <c r="C206" s="2" t="str">
        <f>"1 (1)"</f>
        <v>1 (1)</v>
      </c>
      <c r="D206" s="2" t="s">
        <v>649</v>
      </c>
      <c r="E206" s="5" t="s">
        <v>650</v>
      </c>
      <c r="F206" s="3" t="s">
        <v>651</v>
      </c>
      <c r="G206" s="3" t="s">
        <v>652</v>
      </c>
      <c r="H206" s="2" t="str">
        <f>"2012"</f>
        <v>2012</v>
      </c>
      <c r="I206" t="s">
        <v>14</v>
      </c>
      <c r="J206" t="s">
        <v>15</v>
      </c>
    </row>
    <row r="207" spans="1:10">
      <c r="A207" s="2" t="str">
        <f>"204"</f>
        <v>204</v>
      </c>
      <c r="B207" s="2" t="s">
        <v>9</v>
      </c>
      <c r="C207" s="2" t="str">
        <f>"1 (1)"</f>
        <v>1 (1)</v>
      </c>
      <c r="D207" s="2" t="s">
        <v>653</v>
      </c>
      <c r="E207" s="5" t="s">
        <v>654</v>
      </c>
      <c r="F207" s="3" t="s">
        <v>655</v>
      </c>
      <c r="G207" s="3" t="s">
        <v>349</v>
      </c>
      <c r="H207" s="2" t="str">
        <f>"2012"</f>
        <v>2012</v>
      </c>
      <c r="I207" t="s">
        <v>14</v>
      </c>
      <c r="J207" t="s">
        <v>15</v>
      </c>
    </row>
    <row r="208" spans="1:10">
      <c r="A208" s="2" t="str">
        <f>"205"</f>
        <v>205</v>
      </c>
      <c r="B208" s="2" t="s">
        <v>9</v>
      </c>
      <c r="C208" s="2" t="str">
        <f>"1 (1)"</f>
        <v>1 (1)</v>
      </c>
      <c r="D208" s="2" t="s">
        <v>656</v>
      </c>
      <c r="E208" s="5" t="s">
        <v>657</v>
      </c>
      <c r="F208" s="3" t="s">
        <v>658</v>
      </c>
      <c r="G208" s="3" t="s">
        <v>659</v>
      </c>
      <c r="H208" s="2" t="str">
        <f>"2012"</f>
        <v>2012</v>
      </c>
      <c r="I208" t="s">
        <v>14</v>
      </c>
      <c r="J208" t="s">
        <v>15</v>
      </c>
    </row>
    <row r="209" spans="1:10">
      <c r="A209" s="2" t="str">
        <f>"206"</f>
        <v>206</v>
      </c>
      <c r="B209" s="2" t="s">
        <v>9</v>
      </c>
      <c r="C209" s="2" t="str">
        <f>"1 (1)"</f>
        <v>1 (1)</v>
      </c>
      <c r="D209" s="2" t="s">
        <v>660</v>
      </c>
      <c r="E209" s="5" t="s">
        <v>661</v>
      </c>
      <c r="F209" s="3" t="s">
        <v>662</v>
      </c>
      <c r="G209" s="3" t="s">
        <v>360</v>
      </c>
      <c r="H209" s="2" t="str">
        <f>"2012"</f>
        <v>2012</v>
      </c>
      <c r="I209" t="s">
        <v>14</v>
      </c>
      <c r="J209" t="s">
        <v>15</v>
      </c>
    </row>
    <row r="210" spans="1:10">
      <c r="A210" s="2" t="str">
        <f>"207"</f>
        <v>207</v>
      </c>
      <c r="B210" s="2" t="s">
        <v>9</v>
      </c>
      <c r="C210" s="2" t="str">
        <f>"1 (1)"</f>
        <v>1 (1)</v>
      </c>
      <c r="D210" s="2" t="s">
        <v>663</v>
      </c>
      <c r="E210" s="5" t="s">
        <v>664</v>
      </c>
      <c r="F210" s="3" t="s">
        <v>665</v>
      </c>
      <c r="G210" s="3" t="s">
        <v>360</v>
      </c>
      <c r="H210" s="2" t="str">
        <f>"2012"</f>
        <v>2012</v>
      </c>
      <c r="I210" t="s">
        <v>14</v>
      </c>
      <c r="J210" t="s">
        <v>15</v>
      </c>
    </row>
    <row r="211" spans="1:10">
      <c r="A211" s="2" t="str">
        <f>"208"</f>
        <v>208</v>
      </c>
      <c r="B211" s="2" t="s">
        <v>9</v>
      </c>
      <c r="C211" s="2" t="str">
        <f>"1 (1)"</f>
        <v>1 (1)</v>
      </c>
      <c r="D211" s="2" t="s">
        <v>666</v>
      </c>
      <c r="E211" s="5" t="s">
        <v>667</v>
      </c>
      <c r="F211" s="3" t="s">
        <v>668</v>
      </c>
      <c r="G211" s="3" t="s">
        <v>669</v>
      </c>
      <c r="H211" s="2" t="str">
        <f>"2012"</f>
        <v>2012</v>
      </c>
      <c r="I211" t="s">
        <v>14</v>
      </c>
      <c r="J211" t="s">
        <v>15</v>
      </c>
    </row>
    <row r="212" spans="1:10">
      <c r="A212" s="2" t="str">
        <f>"209"</f>
        <v>209</v>
      </c>
      <c r="B212" s="2" t="s">
        <v>9</v>
      </c>
      <c r="C212" s="2" t="str">
        <f>"1 (1)"</f>
        <v>1 (1)</v>
      </c>
      <c r="D212" s="2" t="s">
        <v>670</v>
      </c>
      <c r="E212" s="5" t="s">
        <v>671</v>
      </c>
      <c r="F212" s="3" t="s">
        <v>672</v>
      </c>
      <c r="G212" s="3" t="s">
        <v>669</v>
      </c>
      <c r="H212" s="2" t="str">
        <f>"2012"</f>
        <v>2012</v>
      </c>
      <c r="I212" t="s">
        <v>14</v>
      </c>
      <c r="J212" t="s">
        <v>15</v>
      </c>
    </row>
    <row r="213" spans="1:10">
      <c r="A213" s="2" t="str">
        <f>"210"</f>
        <v>210</v>
      </c>
      <c r="B213" s="2" t="s">
        <v>9</v>
      </c>
      <c r="C213" s="2" t="str">
        <f>"1 (1)"</f>
        <v>1 (1)</v>
      </c>
      <c r="D213" s="2" t="s">
        <v>673</v>
      </c>
      <c r="E213" s="5" t="s">
        <v>674</v>
      </c>
      <c r="F213" s="3" t="s">
        <v>675</v>
      </c>
      <c r="G213" s="3" t="s">
        <v>676</v>
      </c>
      <c r="H213" s="2" t="str">
        <f>"2012"</f>
        <v>2012</v>
      </c>
      <c r="I213" t="s">
        <v>14</v>
      </c>
      <c r="J213" t="s">
        <v>15</v>
      </c>
    </row>
    <row r="214" spans="1:10">
      <c r="A214" s="2" t="str">
        <f>"211"</f>
        <v>211</v>
      </c>
      <c r="B214" s="2" t="s">
        <v>9</v>
      </c>
      <c r="C214" s="2" t="str">
        <f>"1 (1)"</f>
        <v>1 (1)</v>
      </c>
      <c r="D214" s="2" t="s">
        <v>677</v>
      </c>
      <c r="E214" s="5" t="s">
        <v>678</v>
      </c>
      <c r="F214" s="3" t="s">
        <v>679</v>
      </c>
      <c r="G214" s="3" t="s">
        <v>676</v>
      </c>
      <c r="H214" s="2" t="str">
        <f>"2012"</f>
        <v>2012</v>
      </c>
      <c r="I214" t="s">
        <v>14</v>
      </c>
      <c r="J214" t="s">
        <v>15</v>
      </c>
    </row>
    <row r="215" spans="1:10">
      <c r="A215" s="2" t="str">
        <f>"212"</f>
        <v>212</v>
      </c>
      <c r="B215" s="2" t="s">
        <v>9</v>
      </c>
      <c r="C215" s="2" t="str">
        <f>"1 (1)"</f>
        <v>1 (1)</v>
      </c>
      <c r="D215" s="2" t="s">
        <v>680</v>
      </c>
      <c r="E215" s="5" t="s">
        <v>681</v>
      </c>
      <c r="F215" s="3" t="s">
        <v>682</v>
      </c>
      <c r="G215" s="3" t="s">
        <v>676</v>
      </c>
      <c r="H215" s="2" t="str">
        <f>"2012"</f>
        <v>2012</v>
      </c>
      <c r="I215" t="s">
        <v>14</v>
      </c>
      <c r="J215" t="s">
        <v>15</v>
      </c>
    </row>
    <row r="216" spans="1:10">
      <c r="A216" s="2" t="str">
        <f>"213"</f>
        <v>213</v>
      </c>
      <c r="B216" s="2" t="s">
        <v>9</v>
      </c>
      <c r="C216" s="2" t="str">
        <f>"1 (1)"</f>
        <v>1 (1)</v>
      </c>
      <c r="D216" s="2" t="s">
        <v>683</v>
      </c>
      <c r="E216" s="5" t="s">
        <v>684</v>
      </c>
      <c r="F216" s="3" t="s">
        <v>685</v>
      </c>
      <c r="G216" s="3" t="s">
        <v>676</v>
      </c>
      <c r="H216" s="2" t="str">
        <f>"2012"</f>
        <v>2012</v>
      </c>
      <c r="I216" t="s">
        <v>14</v>
      </c>
      <c r="J216" t="s">
        <v>15</v>
      </c>
    </row>
    <row r="217" spans="1:10">
      <c r="A217" s="2" t="str">
        <f>"214"</f>
        <v>214</v>
      </c>
      <c r="B217" s="2" t="s">
        <v>9</v>
      </c>
      <c r="C217" s="2" t="str">
        <f>"1 (1)"</f>
        <v>1 (1)</v>
      </c>
      <c r="D217" s="2" t="s">
        <v>686</v>
      </c>
      <c r="E217" s="5" t="s">
        <v>687</v>
      </c>
      <c r="F217" s="3" t="s">
        <v>685</v>
      </c>
      <c r="G217" s="3" t="s">
        <v>676</v>
      </c>
      <c r="H217" s="2" t="str">
        <f>"2012"</f>
        <v>2012</v>
      </c>
      <c r="I217" t="s">
        <v>14</v>
      </c>
      <c r="J217" t="s">
        <v>15</v>
      </c>
    </row>
    <row r="218" spans="1:10">
      <c r="A218" s="2" t="str">
        <f>"215"</f>
        <v>215</v>
      </c>
      <c r="B218" s="2" t="s">
        <v>9</v>
      </c>
      <c r="C218" s="2" t="str">
        <f>"1 (1)"</f>
        <v>1 (1)</v>
      </c>
      <c r="D218" s="2" t="s">
        <v>688</v>
      </c>
      <c r="E218" s="5" t="s">
        <v>689</v>
      </c>
      <c r="F218" s="3" t="s">
        <v>685</v>
      </c>
      <c r="G218" s="3" t="s">
        <v>676</v>
      </c>
      <c r="H218" s="2" t="str">
        <f>"2012"</f>
        <v>2012</v>
      </c>
      <c r="I218" t="s">
        <v>14</v>
      </c>
      <c r="J218" t="s">
        <v>15</v>
      </c>
    </row>
    <row r="219" spans="1:10">
      <c r="A219" s="2" t="str">
        <f>"216"</f>
        <v>216</v>
      </c>
      <c r="B219" s="2" t="s">
        <v>9</v>
      </c>
      <c r="C219" s="2" t="str">
        <f>"1 (1)"</f>
        <v>1 (1)</v>
      </c>
      <c r="D219" s="2" t="s">
        <v>690</v>
      </c>
      <c r="E219" s="5" t="s">
        <v>691</v>
      </c>
      <c r="F219" s="3" t="s">
        <v>692</v>
      </c>
      <c r="G219" s="3" t="s">
        <v>676</v>
      </c>
      <c r="H219" s="2" t="str">
        <f>"2012"</f>
        <v>2012</v>
      </c>
      <c r="I219" t="s">
        <v>14</v>
      </c>
      <c r="J219" t="s">
        <v>15</v>
      </c>
    </row>
    <row r="220" spans="1:10">
      <c r="A220" s="2" t="str">
        <f>"217"</f>
        <v>217</v>
      </c>
      <c r="B220" s="2" t="s">
        <v>9</v>
      </c>
      <c r="C220" s="2" t="str">
        <f>"1 (1)"</f>
        <v>1 (1)</v>
      </c>
      <c r="D220" s="2" t="s">
        <v>693</v>
      </c>
      <c r="E220" s="5" t="s">
        <v>694</v>
      </c>
      <c r="F220" s="3" t="s">
        <v>682</v>
      </c>
      <c r="G220" s="3" t="s">
        <v>676</v>
      </c>
      <c r="H220" s="2" t="str">
        <f>"2012"</f>
        <v>2012</v>
      </c>
      <c r="I220" t="s">
        <v>14</v>
      </c>
      <c r="J220" t="s">
        <v>15</v>
      </c>
    </row>
    <row r="221" spans="1:10">
      <c r="A221" s="2" t="str">
        <f>"218"</f>
        <v>218</v>
      </c>
      <c r="B221" s="2" t="s">
        <v>9</v>
      </c>
      <c r="C221" s="2" t="str">
        <f>"1 (1)"</f>
        <v>1 (1)</v>
      </c>
      <c r="D221" s="2" t="s">
        <v>695</v>
      </c>
      <c r="E221" s="5" t="s">
        <v>696</v>
      </c>
      <c r="F221" s="3" t="s">
        <v>697</v>
      </c>
      <c r="G221" s="3" t="s">
        <v>676</v>
      </c>
      <c r="H221" s="2" t="str">
        <f>"2012"</f>
        <v>2012</v>
      </c>
      <c r="I221" t="s">
        <v>14</v>
      </c>
      <c r="J221" t="s">
        <v>15</v>
      </c>
    </row>
    <row r="222" spans="1:10">
      <c r="A222" s="2" t="str">
        <f>"219"</f>
        <v>219</v>
      </c>
      <c r="B222" s="2" t="s">
        <v>9</v>
      </c>
      <c r="C222" s="2" t="str">
        <f>"1 (1)"</f>
        <v>1 (1)</v>
      </c>
      <c r="D222" s="2" t="s">
        <v>698</v>
      </c>
      <c r="E222" s="5" t="s">
        <v>699</v>
      </c>
      <c r="F222" s="3" t="s">
        <v>685</v>
      </c>
      <c r="G222" s="3" t="s">
        <v>676</v>
      </c>
      <c r="H222" s="2" t="str">
        <f>"2012"</f>
        <v>2012</v>
      </c>
      <c r="I222" t="s">
        <v>14</v>
      </c>
      <c r="J222" t="s">
        <v>15</v>
      </c>
    </row>
    <row r="223" spans="1:10">
      <c r="A223" s="2" t="str">
        <f>"220"</f>
        <v>220</v>
      </c>
      <c r="B223" s="2" t="s">
        <v>9</v>
      </c>
      <c r="C223" s="2" t="str">
        <f>"1 (1)"</f>
        <v>1 (1)</v>
      </c>
      <c r="D223" s="2" t="s">
        <v>700</v>
      </c>
      <c r="E223" s="5" t="s">
        <v>701</v>
      </c>
      <c r="F223" s="3" t="s">
        <v>702</v>
      </c>
      <c r="G223" s="3" t="s">
        <v>676</v>
      </c>
      <c r="H223" s="2" t="str">
        <f>"2012"</f>
        <v>2012</v>
      </c>
      <c r="I223" t="s">
        <v>14</v>
      </c>
      <c r="J223" t="s">
        <v>15</v>
      </c>
    </row>
    <row r="224" spans="1:10">
      <c r="A224" s="2" t="str">
        <f>"221"</f>
        <v>221</v>
      </c>
      <c r="B224" s="2" t="s">
        <v>9</v>
      </c>
      <c r="C224" s="2" t="str">
        <f>"1 (1)"</f>
        <v>1 (1)</v>
      </c>
      <c r="D224" s="2" t="s">
        <v>703</v>
      </c>
      <c r="E224" s="5" t="s">
        <v>704</v>
      </c>
      <c r="F224" s="3" t="s">
        <v>705</v>
      </c>
      <c r="G224" s="3" t="s">
        <v>676</v>
      </c>
      <c r="H224" s="2" t="str">
        <f>"2012"</f>
        <v>2012</v>
      </c>
      <c r="I224" t="s">
        <v>14</v>
      </c>
      <c r="J224" t="s">
        <v>15</v>
      </c>
    </row>
    <row r="225" spans="1:10">
      <c r="A225" s="2" t="str">
        <f>"222"</f>
        <v>222</v>
      </c>
      <c r="B225" s="2" t="s">
        <v>9</v>
      </c>
      <c r="C225" s="2" t="str">
        <f>"1 (1)"</f>
        <v>1 (1)</v>
      </c>
      <c r="D225" s="2" t="s">
        <v>706</v>
      </c>
      <c r="E225" s="5" t="s">
        <v>707</v>
      </c>
      <c r="F225" s="3" t="s">
        <v>685</v>
      </c>
      <c r="G225" s="3" t="s">
        <v>676</v>
      </c>
      <c r="H225" s="2" t="str">
        <f>"2012"</f>
        <v>2012</v>
      </c>
      <c r="I225" t="s">
        <v>14</v>
      </c>
      <c r="J225" t="s">
        <v>15</v>
      </c>
    </row>
    <row r="226" spans="1:10">
      <c r="A226" s="2" t="str">
        <f>"223"</f>
        <v>223</v>
      </c>
      <c r="B226" s="2" t="s">
        <v>9</v>
      </c>
      <c r="C226" s="2" t="str">
        <f>"1 (1)"</f>
        <v>1 (1)</v>
      </c>
      <c r="D226" s="2" t="s">
        <v>708</v>
      </c>
      <c r="E226" s="5" t="s">
        <v>709</v>
      </c>
      <c r="F226" s="3" t="s">
        <v>710</v>
      </c>
      <c r="G226" s="3" t="s">
        <v>676</v>
      </c>
      <c r="H226" s="2" t="str">
        <f>"2012"</f>
        <v>2012</v>
      </c>
      <c r="I226" t="s">
        <v>14</v>
      </c>
      <c r="J226" t="s">
        <v>15</v>
      </c>
    </row>
    <row r="227" spans="1:10">
      <c r="A227" s="2" t="str">
        <f>"224"</f>
        <v>224</v>
      </c>
      <c r="B227" s="2" t="s">
        <v>9</v>
      </c>
      <c r="C227" s="2" t="str">
        <f>"1 (1)"</f>
        <v>1 (1)</v>
      </c>
      <c r="D227" s="2" t="s">
        <v>711</v>
      </c>
      <c r="E227" s="5" t="s">
        <v>712</v>
      </c>
      <c r="F227" s="3" t="s">
        <v>685</v>
      </c>
      <c r="G227" s="3" t="s">
        <v>676</v>
      </c>
      <c r="H227" s="2" t="str">
        <f>"2012"</f>
        <v>2012</v>
      </c>
      <c r="I227" t="s">
        <v>14</v>
      </c>
      <c r="J227" t="s">
        <v>15</v>
      </c>
    </row>
    <row r="228" spans="1:10">
      <c r="A228" s="2" t="str">
        <f>"225"</f>
        <v>225</v>
      </c>
      <c r="B228" s="2" t="s">
        <v>9</v>
      </c>
      <c r="C228" s="2" t="str">
        <f>"1 (1)"</f>
        <v>1 (1)</v>
      </c>
      <c r="D228" s="2" t="s">
        <v>713</v>
      </c>
      <c r="E228" s="5" t="s">
        <v>714</v>
      </c>
      <c r="F228" s="3" t="s">
        <v>682</v>
      </c>
      <c r="G228" s="3" t="s">
        <v>676</v>
      </c>
      <c r="H228" s="2" t="str">
        <f>"2012"</f>
        <v>2012</v>
      </c>
      <c r="I228" t="s">
        <v>14</v>
      </c>
      <c r="J228" t="s">
        <v>15</v>
      </c>
    </row>
    <row r="229" spans="1:10">
      <c r="A229" s="2" t="str">
        <f>"226"</f>
        <v>226</v>
      </c>
      <c r="B229" s="2" t="s">
        <v>9</v>
      </c>
      <c r="C229" s="2" t="str">
        <f>"1 (1)"</f>
        <v>1 (1)</v>
      </c>
      <c r="D229" s="2" t="s">
        <v>715</v>
      </c>
      <c r="E229" s="5" t="s">
        <v>716</v>
      </c>
      <c r="F229" s="3" t="s">
        <v>697</v>
      </c>
      <c r="G229" s="3" t="s">
        <v>676</v>
      </c>
      <c r="H229" s="2" t="str">
        <f>"2012"</f>
        <v>2012</v>
      </c>
      <c r="I229" t="s">
        <v>14</v>
      </c>
      <c r="J229" t="s">
        <v>15</v>
      </c>
    </row>
    <row r="230" spans="1:10">
      <c r="A230" s="2" t="str">
        <f>"227"</f>
        <v>227</v>
      </c>
      <c r="B230" s="2" t="s">
        <v>9</v>
      </c>
      <c r="C230" s="2" t="str">
        <f>"1 (1)"</f>
        <v>1 (1)</v>
      </c>
      <c r="D230" s="2" t="s">
        <v>717</v>
      </c>
      <c r="E230" s="5" t="s">
        <v>718</v>
      </c>
      <c r="F230" s="3" t="s">
        <v>675</v>
      </c>
      <c r="G230" s="3" t="s">
        <v>676</v>
      </c>
      <c r="H230" s="2" t="str">
        <f>"2012"</f>
        <v>2012</v>
      </c>
      <c r="I230" t="s">
        <v>14</v>
      </c>
      <c r="J230" t="s">
        <v>15</v>
      </c>
    </row>
    <row r="231" spans="1:10">
      <c r="A231" s="2" t="str">
        <f>"228"</f>
        <v>228</v>
      </c>
      <c r="B231" s="2" t="s">
        <v>9</v>
      </c>
      <c r="C231" s="2" t="str">
        <f>"1 (1)"</f>
        <v>1 (1)</v>
      </c>
      <c r="D231" s="2" t="s">
        <v>719</v>
      </c>
      <c r="E231" s="5" t="s">
        <v>720</v>
      </c>
      <c r="F231" s="3" t="s">
        <v>710</v>
      </c>
      <c r="G231" s="3" t="s">
        <v>676</v>
      </c>
      <c r="H231" s="2" t="str">
        <f>"2012"</f>
        <v>2012</v>
      </c>
      <c r="I231" t="s">
        <v>14</v>
      </c>
      <c r="J231" t="s">
        <v>15</v>
      </c>
    </row>
    <row r="232" spans="1:10">
      <c r="A232" s="2" t="str">
        <f>"229"</f>
        <v>229</v>
      </c>
      <c r="B232" s="2" t="s">
        <v>9</v>
      </c>
      <c r="C232" s="2" t="str">
        <f>"1 (1)"</f>
        <v>1 (1)</v>
      </c>
      <c r="D232" s="2" t="s">
        <v>721</v>
      </c>
      <c r="E232" s="5" t="s">
        <v>722</v>
      </c>
      <c r="F232" s="3" t="s">
        <v>705</v>
      </c>
      <c r="G232" s="3" t="s">
        <v>676</v>
      </c>
      <c r="H232" s="2" t="str">
        <f>"2012"</f>
        <v>2012</v>
      </c>
      <c r="I232" t="s">
        <v>14</v>
      </c>
      <c r="J232" t="s">
        <v>15</v>
      </c>
    </row>
    <row r="233" spans="1:10">
      <c r="A233" s="2" t="str">
        <f>"230"</f>
        <v>230</v>
      </c>
      <c r="B233" s="2" t="s">
        <v>9</v>
      </c>
      <c r="C233" s="2" t="str">
        <f>"1 (1)"</f>
        <v>1 (1)</v>
      </c>
      <c r="D233" s="2" t="s">
        <v>723</v>
      </c>
      <c r="E233" s="5" t="s">
        <v>724</v>
      </c>
      <c r="F233" s="3" t="s">
        <v>705</v>
      </c>
      <c r="G233" s="3" t="s">
        <v>676</v>
      </c>
      <c r="H233" s="2" t="str">
        <f>"2012"</f>
        <v>2012</v>
      </c>
      <c r="I233" t="s">
        <v>14</v>
      </c>
      <c r="J233" t="s">
        <v>15</v>
      </c>
    </row>
    <row r="234" spans="1:10">
      <c r="A234" s="2" t="str">
        <f>"231"</f>
        <v>231</v>
      </c>
      <c r="B234" s="2" t="s">
        <v>9</v>
      </c>
      <c r="C234" s="2" t="str">
        <f>"1 (1)"</f>
        <v>1 (1)</v>
      </c>
      <c r="D234" s="2" t="s">
        <v>725</v>
      </c>
      <c r="E234" s="5" t="s">
        <v>726</v>
      </c>
      <c r="F234" s="3" t="s">
        <v>705</v>
      </c>
      <c r="G234" s="3" t="s">
        <v>676</v>
      </c>
      <c r="H234" s="2" t="str">
        <f>"2012"</f>
        <v>2012</v>
      </c>
      <c r="I234" t="s">
        <v>14</v>
      </c>
      <c r="J234" t="s">
        <v>15</v>
      </c>
    </row>
    <row r="235" spans="1:10">
      <c r="A235" s="2" t="str">
        <f>"232"</f>
        <v>232</v>
      </c>
      <c r="B235" s="2" t="s">
        <v>9</v>
      </c>
      <c r="C235" s="2" t="str">
        <f>"1 (1)"</f>
        <v>1 (1)</v>
      </c>
      <c r="D235" s="2" t="s">
        <v>727</v>
      </c>
      <c r="E235" s="5" t="s">
        <v>728</v>
      </c>
      <c r="F235" s="3" t="s">
        <v>729</v>
      </c>
      <c r="G235" s="3" t="s">
        <v>676</v>
      </c>
      <c r="H235" s="2" t="str">
        <f>"2012"</f>
        <v>2012</v>
      </c>
      <c r="I235" t="s">
        <v>14</v>
      </c>
      <c r="J235" t="s">
        <v>15</v>
      </c>
    </row>
    <row r="236" spans="1:10">
      <c r="A236" s="2" t="str">
        <f>"233"</f>
        <v>233</v>
      </c>
      <c r="B236" s="2" t="s">
        <v>9</v>
      </c>
      <c r="C236" s="2" t="str">
        <f>"1 (1)"</f>
        <v>1 (1)</v>
      </c>
      <c r="D236" s="2" t="s">
        <v>730</v>
      </c>
      <c r="E236" s="5" t="s">
        <v>731</v>
      </c>
      <c r="F236" s="3" t="s">
        <v>705</v>
      </c>
      <c r="G236" s="3" t="s">
        <v>676</v>
      </c>
      <c r="H236" s="2" t="str">
        <f>"2012"</f>
        <v>2012</v>
      </c>
      <c r="I236" t="s">
        <v>14</v>
      </c>
      <c r="J236" t="s">
        <v>15</v>
      </c>
    </row>
    <row r="237" spans="1:10">
      <c r="A237" s="2" t="str">
        <f>"234"</f>
        <v>234</v>
      </c>
      <c r="B237" s="2" t="s">
        <v>9</v>
      </c>
      <c r="C237" s="2" t="str">
        <f>"1 (1)"</f>
        <v>1 (1)</v>
      </c>
      <c r="D237" s="2" t="s">
        <v>732</v>
      </c>
      <c r="E237" s="5" t="s">
        <v>733</v>
      </c>
      <c r="F237" s="3" t="s">
        <v>682</v>
      </c>
      <c r="G237" s="3" t="s">
        <v>676</v>
      </c>
      <c r="H237" s="2" t="str">
        <f>"2012"</f>
        <v>2012</v>
      </c>
      <c r="I237" t="s">
        <v>14</v>
      </c>
      <c r="J237" t="s">
        <v>15</v>
      </c>
    </row>
    <row r="238" spans="1:10">
      <c r="A238" s="2" t="str">
        <f>"235"</f>
        <v>235</v>
      </c>
      <c r="B238" s="2" t="s">
        <v>9</v>
      </c>
      <c r="C238" s="2" t="str">
        <f>"1 (1)"</f>
        <v>1 (1)</v>
      </c>
      <c r="D238" s="2" t="s">
        <v>734</v>
      </c>
      <c r="E238" s="5" t="s">
        <v>735</v>
      </c>
      <c r="F238" s="3" t="s">
        <v>736</v>
      </c>
      <c r="G238" s="3" t="s">
        <v>737</v>
      </c>
      <c r="H238" s="2" t="str">
        <f>"2012"</f>
        <v>2012</v>
      </c>
      <c r="I238" t="s">
        <v>14</v>
      </c>
      <c r="J238" t="s">
        <v>15</v>
      </c>
    </row>
    <row r="239" spans="1:10">
      <c r="A239" s="2" t="str">
        <f>"236"</f>
        <v>236</v>
      </c>
      <c r="B239" s="2" t="s">
        <v>9</v>
      </c>
      <c r="C239" s="2" t="str">
        <f>"1 (1)"</f>
        <v>1 (1)</v>
      </c>
      <c r="D239" s="2" t="s">
        <v>738</v>
      </c>
      <c r="E239" s="5" t="s">
        <v>739</v>
      </c>
      <c r="F239" s="3" t="s">
        <v>736</v>
      </c>
      <c r="G239" s="3" t="s">
        <v>737</v>
      </c>
      <c r="H239" s="2" t="str">
        <f>"2012"</f>
        <v>2012</v>
      </c>
      <c r="I239" t="s">
        <v>14</v>
      </c>
      <c r="J239" t="s">
        <v>15</v>
      </c>
    </row>
    <row r="240" spans="1:10">
      <c r="A240" s="2" t="str">
        <f>"237"</f>
        <v>237</v>
      </c>
      <c r="B240" s="2" t="s">
        <v>9</v>
      </c>
      <c r="C240" s="2" t="str">
        <f>"1 (1)"</f>
        <v>1 (1)</v>
      </c>
      <c r="D240" s="2" t="s">
        <v>740</v>
      </c>
      <c r="E240" s="5" t="s">
        <v>741</v>
      </c>
      <c r="F240" s="3" t="s">
        <v>742</v>
      </c>
      <c r="G240" s="3" t="s">
        <v>743</v>
      </c>
      <c r="H240" s="2" t="str">
        <f>"2012"</f>
        <v>2012</v>
      </c>
      <c r="I240" t="s">
        <v>14</v>
      </c>
      <c r="J240" t="s">
        <v>15</v>
      </c>
    </row>
    <row r="241" spans="1:10">
      <c r="A241" s="2" t="str">
        <f>"238"</f>
        <v>238</v>
      </c>
      <c r="B241" s="2" t="s">
        <v>9</v>
      </c>
      <c r="C241" s="2" t="str">
        <f>"1 (1)"</f>
        <v>1 (1)</v>
      </c>
      <c r="D241" s="2" t="s">
        <v>744</v>
      </c>
      <c r="E241" s="5" t="s">
        <v>745</v>
      </c>
      <c r="F241" s="3" t="s">
        <v>746</v>
      </c>
      <c r="G241" s="3" t="s">
        <v>747</v>
      </c>
      <c r="H241" s="2" t="str">
        <f>"2012"</f>
        <v>2012</v>
      </c>
      <c r="I241" t="s">
        <v>14</v>
      </c>
      <c r="J241" t="s">
        <v>15</v>
      </c>
    </row>
    <row r="242" spans="1:10">
      <c r="A242" s="2" t="str">
        <f>"239"</f>
        <v>239</v>
      </c>
      <c r="B242" s="2" t="s">
        <v>9</v>
      </c>
      <c r="C242" s="2" t="str">
        <f>"1 (1)"</f>
        <v>1 (1)</v>
      </c>
      <c r="D242" s="2" t="s">
        <v>748</v>
      </c>
      <c r="E242" s="5" t="s">
        <v>749</v>
      </c>
      <c r="F242" s="3" t="s">
        <v>750</v>
      </c>
      <c r="G242" s="3" t="s">
        <v>110</v>
      </c>
      <c r="H242" s="2" t="str">
        <f>"2012"</f>
        <v>2012</v>
      </c>
      <c r="I242" t="s">
        <v>14</v>
      </c>
      <c r="J242" t="s">
        <v>15</v>
      </c>
    </row>
    <row r="243" spans="1:10">
      <c r="A243" s="2" t="str">
        <f>"240"</f>
        <v>240</v>
      </c>
      <c r="B243" s="2" t="s">
        <v>9</v>
      </c>
      <c r="C243" s="2" t="str">
        <f>"1 (1)"</f>
        <v>1 (1)</v>
      </c>
      <c r="D243" s="2" t="s">
        <v>751</v>
      </c>
      <c r="E243" s="5" t="s">
        <v>752</v>
      </c>
      <c r="F243" s="3" t="s">
        <v>753</v>
      </c>
      <c r="G243" s="3" t="s">
        <v>114</v>
      </c>
      <c r="H243" s="2" t="str">
        <f>"2012"</f>
        <v>2012</v>
      </c>
      <c r="I243" t="s">
        <v>14</v>
      </c>
      <c r="J243" t="s">
        <v>15</v>
      </c>
    </row>
    <row r="244" spans="1:10">
      <c r="A244" s="2" t="str">
        <f>"241"</f>
        <v>241</v>
      </c>
      <c r="B244" s="2" t="s">
        <v>9</v>
      </c>
      <c r="C244" s="2" t="str">
        <f>"1 (1)"</f>
        <v>1 (1)</v>
      </c>
      <c r="D244" s="2" t="s">
        <v>754</v>
      </c>
      <c r="E244" s="5" t="s">
        <v>755</v>
      </c>
      <c r="F244" s="3" t="s">
        <v>756</v>
      </c>
      <c r="G244" s="3" t="s">
        <v>757</v>
      </c>
      <c r="H244" s="2" t="str">
        <f>"2012"</f>
        <v>2012</v>
      </c>
      <c r="I244" t="s">
        <v>14</v>
      </c>
      <c r="J244" t="s">
        <v>15</v>
      </c>
    </row>
    <row r="245" spans="1:10">
      <c r="A245" s="2" t="str">
        <f>"242"</f>
        <v>242</v>
      </c>
      <c r="B245" s="2" t="s">
        <v>9</v>
      </c>
      <c r="C245" s="2" t="str">
        <f>"1 (1)"</f>
        <v>1 (1)</v>
      </c>
      <c r="D245" s="2" t="s">
        <v>758</v>
      </c>
      <c r="E245" s="5" t="s">
        <v>759</v>
      </c>
      <c r="F245" s="3" t="s">
        <v>760</v>
      </c>
      <c r="G245" s="3" t="s">
        <v>394</v>
      </c>
      <c r="H245" s="2" t="str">
        <f>"2012"</f>
        <v>2012</v>
      </c>
      <c r="I245" t="s">
        <v>14</v>
      </c>
      <c r="J245" t="s">
        <v>15</v>
      </c>
    </row>
    <row r="246" spans="1:10">
      <c r="A246" s="2" t="str">
        <f>"243"</f>
        <v>243</v>
      </c>
      <c r="B246" s="2" t="s">
        <v>9</v>
      </c>
      <c r="C246" s="2" t="str">
        <f>"1 (1)"</f>
        <v>1 (1)</v>
      </c>
      <c r="D246" s="2" t="s">
        <v>761</v>
      </c>
      <c r="E246" s="5" t="s">
        <v>762</v>
      </c>
      <c r="F246" s="3" t="s">
        <v>763</v>
      </c>
      <c r="G246" s="3" t="s">
        <v>394</v>
      </c>
      <c r="H246" s="2" t="str">
        <f>"2012"</f>
        <v>2012</v>
      </c>
      <c r="I246" t="s">
        <v>14</v>
      </c>
      <c r="J246" t="s">
        <v>15</v>
      </c>
    </row>
    <row r="247" spans="1:10">
      <c r="A247" s="2" t="str">
        <f>"244"</f>
        <v>244</v>
      </c>
      <c r="B247" s="2" t="s">
        <v>9</v>
      </c>
      <c r="C247" s="2" t="str">
        <f>"1 (1)"</f>
        <v>1 (1)</v>
      </c>
      <c r="D247" s="2" t="s">
        <v>764</v>
      </c>
      <c r="E247" s="5" t="s">
        <v>765</v>
      </c>
      <c r="F247" s="3" t="s">
        <v>766</v>
      </c>
      <c r="G247" s="3" t="s">
        <v>394</v>
      </c>
      <c r="H247" s="2" t="str">
        <f>"2012"</f>
        <v>2012</v>
      </c>
      <c r="I247" t="s">
        <v>14</v>
      </c>
      <c r="J247" t="s">
        <v>15</v>
      </c>
    </row>
    <row r="248" spans="1:10">
      <c r="A248" s="2" t="str">
        <f>"245"</f>
        <v>245</v>
      </c>
      <c r="B248" s="2" t="s">
        <v>9</v>
      </c>
      <c r="C248" s="2" t="str">
        <f>"1 (1)"</f>
        <v>1 (1)</v>
      </c>
      <c r="D248" s="2" t="s">
        <v>767</v>
      </c>
      <c r="E248" s="5" t="s">
        <v>768</v>
      </c>
      <c r="F248" s="3" t="s">
        <v>766</v>
      </c>
      <c r="G248" s="3" t="s">
        <v>394</v>
      </c>
      <c r="H248" s="2" t="str">
        <f>"2012"</f>
        <v>2012</v>
      </c>
      <c r="I248" t="s">
        <v>14</v>
      </c>
      <c r="J248" t="s">
        <v>15</v>
      </c>
    </row>
    <row r="249" spans="1:10">
      <c r="A249" s="2" t="str">
        <f>"246"</f>
        <v>246</v>
      </c>
      <c r="B249" s="2" t="s">
        <v>9</v>
      </c>
      <c r="C249" s="2" t="str">
        <f>"1 (1)"</f>
        <v>1 (1)</v>
      </c>
      <c r="D249" s="2" t="s">
        <v>769</v>
      </c>
      <c r="E249" s="5" t="s">
        <v>770</v>
      </c>
      <c r="F249" s="3" t="s">
        <v>771</v>
      </c>
      <c r="G249" s="3" t="s">
        <v>772</v>
      </c>
      <c r="H249" s="2" t="str">
        <f>"2011"</f>
        <v>2011</v>
      </c>
      <c r="I249" t="s">
        <v>14</v>
      </c>
      <c r="J249" t="s">
        <v>15</v>
      </c>
    </row>
    <row r="250" spans="1:10">
      <c r="A250" s="2" t="str">
        <f>"247"</f>
        <v>247</v>
      </c>
      <c r="B250" s="2" t="s">
        <v>9</v>
      </c>
      <c r="C250" s="2" t="str">
        <f>"1 (1)"</f>
        <v>1 (1)</v>
      </c>
      <c r="D250" s="2" t="s">
        <v>773</v>
      </c>
      <c r="E250" s="5" t="s">
        <v>774</v>
      </c>
      <c r="F250" s="3" t="s">
        <v>771</v>
      </c>
      <c r="G250" s="3" t="s">
        <v>775</v>
      </c>
      <c r="H250" s="2" t="str">
        <f>"2011"</f>
        <v>2011</v>
      </c>
      <c r="I250" t="s">
        <v>14</v>
      </c>
      <c r="J250" t="s">
        <v>15</v>
      </c>
    </row>
    <row r="251" spans="1:10">
      <c r="A251" s="2" t="str">
        <f>"248"</f>
        <v>248</v>
      </c>
      <c r="B251" s="2" t="s">
        <v>9</v>
      </c>
      <c r="C251" s="2" t="str">
        <f>"1 (1)"</f>
        <v>1 (1)</v>
      </c>
      <c r="D251" s="2" t="s">
        <v>776</v>
      </c>
      <c r="E251" s="5" t="s">
        <v>777</v>
      </c>
      <c r="F251" s="3" t="s">
        <v>771</v>
      </c>
      <c r="G251" s="3" t="s">
        <v>775</v>
      </c>
      <c r="H251" s="2" t="str">
        <f>"2011"</f>
        <v>2011</v>
      </c>
      <c r="I251" t="s">
        <v>14</v>
      </c>
      <c r="J251" t="s">
        <v>15</v>
      </c>
    </row>
    <row r="252" spans="1:10">
      <c r="A252" s="2" t="str">
        <f>"249"</f>
        <v>249</v>
      </c>
      <c r="B252" s="2" t="s">
        <v>9</v>
      </c>
      <c r="C252" s="2" t="str">
        <f>"1 (1)"</f>
        <v>1 (1)</v>
      </c>
      <c r="D252" s="2" t="s">
        <v>778</v>
      </c>
      <c r="E252" s="5" t="s">
        <v>779</v>
      </c>
      <c r="F252" s="3" t="s">
        <v>771</v>
      </c>
      <c r="G252" s="3" t="s">
        <v>775</v>
      </c>
      <c r="H252" s="2" t="str">
        <f>"2012"</f>
        <v>2012</v>
      </c>
      <c r="I252" t="s">
        <v>14</v>
      </c>
      <c r="J252" t="s">
        <v>15</v>
      </c>
    </row>
    <row r="253" spans="1:10">
      <c r="A253" s="2" t="str">
        <f>"250"</f>
        <v>250</v>
      </c>
      <c r="B253" s="2" t="s">
        <v>9</v>
      </c>
      <c r="C253" s="2" t="str">
        <f>"1 (1)"</f>
        <v>1 (1)</v>
      </c>
      <c r="D253" s="2" t="s">
        <v>780</v>
      </c>
      <c r="E253" s="5" t="s">
        <v>781</v>
      </c>
      <c r="F253" s="3" t="s">
        <v>782</v>
      </c>
      <c r="G253" s="3" t="s">
        <v>772</v>
      </c>
      <c r="H253" s="2" t="str">
        <f>"2012"</f>
        <v>2012</v>
      </c>
      <c r="I253" t="s">
        <v>14</v>
      </c>
      <c r="J253" t="s">
        <v>15</v>
      </c>
    </row>
    <row r="254" spans="1:10">
      <c r="A254" s="2" t="str">
        <f>"251"</f>
        <v>251</v>
      </c>
      <c r="B254" s="2" t="s">
        <v>9</v>
      </c>
      <c r="C254" s="2" t="str">
        <f>"1 (1)"</f>
        <v>1 (1)</v>
      </c>
      <c r="D254" s="2" t="s">
        <v>783</v>
      </c>
      <c r="E254" s="5" t="s">
        <v>784</v>
      </c>
      <c r="F254" s="3" t="s">
        <v>785</v>
      </c>
      <c r="G254" s="3" t="s">
        <v>772</v>
      </c>
      <c r="H254" s="2" t="str">
        <f>"2011"</f>
        <v>2011</v>
      </c>
      <c r="I254" t="s">
        <v>14</v>
      </c>
      <c r="J254" t="s">
        <v>15</v>
      </c>
    </row>
    <row r="255" spans="1:10">
      <c r="A255" s="2" t="str">
        <f>"252"</f>
        <v>252</v>
      </c>
      <c r="B255" s="2" t="s">
        <v>9</v>
      </c>
      <c r="C255" s="2" t="str">
        <f>"1 (1)"</f>
        <v>1 (1)</v>
      </c>
      <c r="D255" s="2" t="s">
        <v>786</v>
      </c>
      <c r="E255" s="5" t="s">
        <v>787</v>
      </c>
      <c r="F255" s="3" t="s">
        <v>785</v>
      </c>
      <c r="G255" s="3" t="s">
        <v>775</v>
      </c>
      <c r="H255" s="2" t="str">
        <f>"2011"</f>
        <v>2011</v>
      </c>
      <c r="I255" t="s">
        <v>14</v>
      </c>
      <c r="J255" t="s">
        <v>15</v>
      </c>
    </row>
    <row r="256" spans="1:10">
      <c r="A256" s="2" t="str">
        <f>"253"</f>
        <v>253</v>
      </c>
      <c r="B256" s="2" t="s">
        <v>9</v>
      </c>
      <c r="C256" s="2" t="str">
        <f>"1 (1)"</f>
        <v>1 (1)</v>
      </c>
      <c r="D256" s="2" t="s">
        <v>788</v>
      </c>
      <c r="E256" s="5" t="s">
        <v>789</v>
      </c>
      <c r="F256" s="3" t="s">
        <v>785</v>
      </c>
      <c r="G256" s="3" t="s">
        <v>775</v>
      </c>
      <c r="H256" s="2" t="str">
        <f>"2011"</f>
        <v>2011</v>
      </c>
      <c r="I256" t="s">
        <v>14</v>
      </c>
      <c r="J256" t="s">
        <v>15</v>
      </c>
    </row>
    <row r="257" spans="1:10">
      <c r="A257" s="2" t="str">
        <f>"254"</f>
        <v>254</v>
      </c>
      <c r="B257" s="2" t="s">
        <v>9</v>
      </c>
      <c r="C257" s="2" t="str">
        <f>"1 (1)"</f>
        <v>1 (1)</v>
      </c>
      <c r="D257" s="2" t="s">
        <v>790</v>
      </c>
      <c r="E257" s="5" t="s">
        <v>791</v>
      </c>
      <c r="F257" s="3" t="s">
        <v>785</v>
      </c>
      <c r="G257" s="3" t="s">
        <v>775</v>
      </c>
      <c r="H257" s="2" t="str">
        <f>"2011"</f>
        <v>2011</v>
      </c>
      <c r="I257" t="s">
        <v>14</v>
      </c>
      <c r="J257" t="s">
        <v>15</v>
      </c>
    </row>
    <row r="258" spans="1:10">
      <c r="A258" s="2" t="str">
        <f>"255"</f>
        <v>255</v>
      </c>
      <c r="B258" s="2" t="s">
        <v>9</v>
      </c>
      <c r="C258" s="2" t="str">
        <f>"1 (1)"</f>
        <v>1 (1)</v>
      </c>
      <c r="D258" s="2" t="s">
        <v>792</v>
      </c>
      <c r="E258" s="5" t="s">
        <v>793</v>
      </c>
      <c r="F258" s="3" t="s">
        <v>785</v>
      </c>
      <c r="G258" s="3" t="s">
        <v>775</v>
      </c>
      <c r="H258" s="2" t="str">
        <f>"2011"</f>
        <v>2011</v>
      </c>
      <c r="I258" t="s">
        <v>14</v>
      </c>
      <c r="J258" t="s">
        <v>15</v>
      </c>
    </row>
    <row r="259" spans="1:10">
      <c r="A259" s="2" t="str">
        <f>"256"</f>
        <v>256</v>
      </c>
      <c r="B259" s="2" t="s">
        <v>9</v>
      </c>
      <c r="C259" s="2" t="str">
        <f>"1 (1)"</f>
        <v>1 (1)</v>
      </c>
      <c r="D259" s="2" t="s">
        <v>794</v>
      </c>
      <c r="E259" s="5" t="s">
        <v>795</v>
      </c>
      <c r="F259" s="3" t="s">
        <v>785</v>
      </c>
      <c r="G259" s="3" t="s">
        <v>775</v>
      </c>
      <c r="H259" s="2" t="str">
        <f>"2012"</f>
        <v>2012</v>
      </c>
      <c r="I259" t="s">
        <v>14</v>
      </c>
      <c r="J259" t="s">
        <v>15</v>
      </c>
    </row>
    <row r="260" spans="1:10">
      <c r="A260" s="2" t="str">
        <f>"257"</f>
        <v>257</v>
      </c>
      <c r="B260" s="2" t="s">
        <v>9</v>
      </c>
      <c r="C260" s="2" t="str">
        <f>"1 (1)"</f>
        <v>1 (1)</v>
      </c>
      <c r="D260" s="2" t="s">
        <v>796</v>
      </c>
      <c r="E260" s="5" t="s">
        <v>797</v>
      </c>
      <c r="F260" s="3" t="s">
        <v>785</v>
      </c>
      <c r="G260" s="3" t="s">
        <v>775</v>
      </c>
      <c r="H260" s="2" t="str">
        <f>"2012"</f>
        <v>2012</v>
      </c>
      <c r="I260" t="s">
        <v>14</v>
      </c>
      <c r="J260" t="s">
        <v>15</v>
      </c>
    </row>
    <row r="261" spans="1:10">
      <c r="A261" s="2" t="str">
        <f>"258"</f>
        <v>258</v>
      </c>
      <c r="B261" s="2" t="s">
        <v>9</v>
      </c>
      <c r="C261" s="2" t="str">
        <f>"1 (1)"</f>
        <v>1 (1)</v>
      </c>
      <c r="D261" s="2" t="s">
        <v>798</v>
      </c>
      <c r="E261" s="5" t="s">
        <v>799</v>
      </c>
      <c r="F261" s="3" t="s">
        <v>785</v>
      </c>
      <c r="G261" s="3" t="s">
        <v>775</v>
      </c>
      <c r="H261" s="2" t="str">
        <f>"2012"</f>
        <v>2012</v>
      </c>
      <c r="I261" t="s">
        <v>14</v>
      </c>
      <c r="J261" t="s">
        <v>15</v>
      </c>
    </row>
    <row r="262" spans="1:10">
      <c r="A262" s="2" t="str">
        <f>"259"</f>
        <v>259</v>
      </c>
      <c r="B262" s="2" t="s">
        <v>9</v>
      </c>
      <c r="C262" s="2" t="str">
        <f>"1 (1)"</f>
        <v>1 (1)</v>
      </c>
      <c r="D262" s="2" t="s">
        <v>800</v>
      </c>
      <c r="E262" s="5" t="s">
        <v>801</v>
      </c>
      <c r="F262" s="3" t="s">
        <v>802</v>
      </c>
      <c r="G262" s="3" t="s">
        <v>775</v>
      </c>
      <c r="H262" s="2" t="str">
        <f>"2012"</f>
        <v>2012</v>
      </c>
      <c r="I262" t="s">
        <v>14</v>
      </c>
      <c r="J262" t="s">
        <v>15</v>
      </c>
    </row>
    <row r="263" spans="1:10">
      <c r="A263" s="2" t="str">
        <f>"260"</f>
        <v>260</v>
      </c>
      <c r="B263" s="2" t="s">
        <v>9</v>
      </c>
      <c r="C263" s="2" t="str">
        <f>"1 (1)"</f>
        <v>1 (1)</v>
      </c>
      <c r="D263" s="2" t="s">
        <v>803</v>
      </c>
      <c r="E263" s="5" t="s">
        <v>804</v>
      </c>
      <c r="F263" s="3" t="s">
        <v>805</v>
      </c>
      <c r="G263" s="3" t="s">
        <v>806</v>
      </c>
      <c r="H263" s="2" t="str">
        <f>"2012"</f>
        <v>2012</v>
      </c>
      <c r="I263" t="s">
        <v>14</v>
      </c>
      <c r="J263" t="s">
        <v>15</v>
      </c>
    </row>
    <row r="264" spans="1:10">
      <c r="A264" s="2" t="str">
        <f>"261"</f>
        <v>261</v>
      </c>
      <c r="B264" s="2" t="s">
        <v>9</v>
      </c>
      <c r="C264" s="2" t="str">
        <f>"1 (1)"</f>
        <v>1 (1)</v>
      </c>
      <c r="D264" s="2" t="s">
        <v>807</v>
      </c>
      <c r="E264" s="5" t="s">
        <v>808</v>
      </c>
      <c r="F264" s="3" t="s">
        <v>809</v>
      </c>
      <c r="G264" s="3" t="s">
        <v>810</v>
      </c>
      <c r="H264" s="2" t="str">
        <f>"2012"</f>
        <v>2012</v>
      </c>
      <c r="I264" t="s">
        <v>14</v>
      </c>
      <c r="J264" t="s">
        <v>15</v>
      </c>
    </row>
    <row r="265" spans="1:10">
      <c r="A265" s="2" t="str">
        <f>"262"</f>
        <v>262</v>
      </c>
      <c r="B265" s="2" t="s">
        <v>9</v>
      </c>
      <c r="C265" s="2" t="str">
        <f>"1 (1)"</f>
        <v>1 (1)</v>
      </c>
      <c r="D265" s="2" t="s">
        <v>811</v>
      </c>
      <c r="E265" s="5" t="s">
        <v>812</v>
      </c>
      <c r="F265" s="3" t="s">
        <v>813</v>
      </c>
      <c r="G265" s="3" t="s">
        <v>814</v>
      </c>
      <c r="H265" s="2" t="str">
        <f>"2012"</f>
        <v>2012</v>
      </c>
      <c r="I265" t="s">
        <v>14</v>
      </c>
      <c r="J265" t="s">
        <v>15</v>
      </c>
    </row>
    <row r="266" spans="1:10">
      <c r="A266" s="2" t="str">
        <f>"263"</f>
        <v>263</v>
      </c>
      <c r="B266" s="2" t="s">
        <v>9</v>
      </c>
      <c r="C266" s="2" t="str">
        <f>"1 (1)"</f>
        <v>1 (1)</v>
      </c>
      <c r="D266" s="2" t="s">
        <v>815</v>
      </c>
      <c r="E266" s="5" t="s">
        <v>816</v>
      </c>
      <c r="F266" s="3" t="s">
        <v>817</v>
      </c>
      <c r="G266" s="3" t="s">
        <v>482</v>
      </c>
      <c r="H266" s="2" t="str">
        <f>"2012"</f>
        <v>2012</v>
      </c>
      <c r="I266" t="s">
        <v>14</v>
      </c>
      <c r="J266" t="s">
        <v>15</v>
      </c>
    </row>
    <row r="267" spans="1:10">
      <c r="A267" s="2" t="str">
        <f>"264"</f>
        <v>264</v>
      </c>
      <c r="B267" s="2" t="s">
        <v>9</v>
      </c>
      <c r="C267" s="2" t="str">
        <f>"1 (1)"</f>
        <v>1 (1)</v>
      </c>
      <c r="D267" s="2" t="s">
        <v>818</v>
      </c>
      <c r="E267" s="5" t="s">
        <v>819</v>
      </c>
      <c r="F267" s="3" t="s">
        <v>820</v>
      </c>
      <c r="G267" s="3" t="s">
        <v>821</v>
      </c>
      <c r="H267" s="2" t="str">
        <f>"2012"</f>
        <v>2012</v>
      </c>
      <c r="I267" t="s">
        <v>14</v>
      </c>
      <c r="J267" t="s">
        <v>15</v>
      </c>
    </row>
    <row r="268" spans="1:10">
      <c r="A268" s="2" t="str">
        <f>"265"</f>
        <v>265</v>
      </c>
      <c r="B268" s="2" t="s">
        <v>9</v>
      </c>
      <c r="C268" s="2" t="str">
        <f>"1 (1)"</f>
        <v>1 (1)</v>
      </c>
      <c r="D268" s="2" t="s">
        <v>822</v>
      </c>
      <c r="E268" s="5" t="s">
        <v>823</v>
      </c>
      <c r="F268" s="3" t="s">
        <v>824</v>
      </c>
      <c r="G268" s="3" t="s">
        <v>825</v>
      </c>
      <c r="H268" s="2" t="str">
        <f>"2012"</f>
        <v>2012</v>
      </c>
      <c r="I268" t="s">
        <v>14</v>
      </c>
      <c r="J268" t="s">
        <v>15</v>
      </c>
    </row>
    <row r="269" spans="1:10">
      <c r="A269" s="2" t="str">
        <f>"266"</f>
        <v>266</v>
      </c>
      <c r="B269" s="2" t="s">
        <v>9</v>
      </c>
      <c r="C269" s="2" t="str">
        <f>"1 (1)"</f>
        <v>1 (1)</v>
      </c>
      <c r="D269" s="2" t="s">
        <v>826</v>
      </c>
      <c r="E269" s="5" t="s">
        <v>827</v>
      </c>
      <c r="F269" s="3" t="s">
        <v>828</v>
      </c>
      <c r="G269" s="3" t="s">
        <v>134</v>
      </c>
      <c r="H269" s="2" t="str">
        <f>"2012"</f>
        <v>2012</v>
      </c>
      <c r="I269" t="s">
        <v>14</v>
      </c>
      <c r="J269" t="s">
        <v>15</v>
      </c>
    </row>
    <row r="270" spans="1:10">
      <c r="A270" s="2" t="str">
        <f>"267"</f>
        <v>267</v>
      </c>
      <c r="B270" s="2" t="s">
        <v>9</v>
      </c>
      <c r="C270" s="2" t="str">
        <f>"1 (1)"</f>
        <v>1 (1)</v>
      </c>
      <c r="D270" s="2" t="s">
        <v>829</v>
      </c>
      <c r="E270" s="5" t="s">
        <v>830</v>
      </c>
      <c r="F270" s="3" t="s">
        <v>831</v>
      </c>
      <c r="G270" s="3" t="s">
        <v>832</v>
      </c>
      <c r="H270" s="2" t="str">
        <f>"2012"</f>
        <v>2012</v>
      </c>
      <c r="I270" t="s">
        <v>14</v>
      </c>
      <c r="J270" t="s">
        <v>15</v>
      </c>
    </row>
    <row r="271" spans="1:10">
      <c r="A271" s="2" t="str">
        <f>"268"</f>
        <v>268</v>
      </c>
      <c r="B271" s="2" t="s">
        <v>9</v>
      </c>
      <c r="C271" s="2" t="str">
        <f>"1 (1)"</f>
        <v>1 (1)</v>
      </c>
      <c r="D271" s="2" t="s">
        <v>833</v>
      </c>
      <c r="E271" s="5" t="s">
        <v>834</v>
      </c>
      <c r="F271" s="3" t="s">
        <v>835</v>
      </c>
      <c r="G271" s="3" t="s">
        <v>836</v>
      </c>
      <c r="H271" s="2" t="str">
        <f>"2012"</f>
        <v>2012</v>
      </c>
      <c r="I271" t="s">
        <v>14</v>
      </c>
      <c r="J271" t="s">
        <v>15</v>
      </c>
    </row>
    <row r="272" spans="1:10">
      <c r="A272" s="2" t="str">
        <f>"269"</f>
        <v>269</v>
      </c>
      <c r="B272" s="2" t="s">
        <v>9</v>
      </c>
      <c r="C272" s="2" t="str">
        <f>"1 (1)"</f>
        <v>1 (1)</v>
      </c>
      <c r="D272" s="2" t="s">
        <v>837</v>
      </c>
      <c r="E272" s="5" t="s">
        <v>838</v>
      </c>
      <c r="F272" s="3" t="s">
        <v>839</v>
      </c>
      <c r="G272" s="3" t="s">
        <v>840</v>
      </c>
      <c r="H272" s="2" t="str">
        <f>"2010"</f>
        <v>2010</v>
      </c>
      <c r="I272" t="s">
        <v>14</v>
      </c>
      <c r="J272" t="s">
        <v>15</v>
      </c>
    </row>
    <row r="273" spans="1:10">
      <c r="A273" s="2" t="str">
        <f>"270"</f>
        <v>270</v>
      </c>
      <c r="B273" s="2" t="s">
        <v>9</v>
      </c>
      <c r="C273" s="2" t="str">
        <f>"1 (1)"</f>
        <v>1 (1)</v>
      </c>
      <c r="D273" s="2" t="s">
        <v>841</v>
      </c>
      <c r="E273" s="5" t="s">
        <v>842</v>
      </c>
      <c r="F273" s="3" t="s">
        <v>839</v>
      </c>
      <c r="G273" s="3" t="s">
        <v>840</v>
      </c>
      <c r="H273" s="2" t="str">
        <f>"2010"</f>
        <v>2010</v>
      </c>
      <c r="I273" t="s">
        <v>14</v>
      </c>
      <c r="J273" t="s">
        <v>15</v>
      </c>
    </row>
    <row r="274" spans="1:10">
      <c r="A274" s="2" t="str">
        <f>"271"</f>
        <v>271</v>
      </c>
      <c r="B274" s="2" t="s">
        <v>9</v>
      </c>
      <c r="C274" s="2" t="str">
        <f>"1 (1)"</f>
        <v>1 (1)</v>
      </c>
      <c r="D274" s="2" t="s">
        <v>843</v>
      </c>
      <c r="E274" s="5" t="s">
        <v>844</v>
      </c>
      <c r="F274" s="3" t="s">
        <v>845</v>
      </c>
      <c r="G274" s="3" t="s">
        <v>846</v>
      </c>
      <c r="H274" s="2" t="str">
        <f>"2011"</f>
        <v>2011</v>
      </c>
      <c r="I274" t="s">
        <v>14</v>
      </c>
      <c r="J274" t="s">
        <v>15</v>
      </c>
    </row>
    <row r="275" spans="1:10">
      <c r="A275" s="2" t="str">
        <f>"272"</f>
        <v>272</v>
      </c>
      <c r="B275" s="2" t="s">
        <v>9</v>
      </c>
      <c r="C275" s="2" t="str">
        <f>"1 (1)"</f>
        <v>1 (1)</v>
      </c>
      <c r="D275" s="2" t="s">
        <v>847</v>
      </c>
      <c r="E275" s="5" t="s">
        <v>848</v>
      </c>
      <c r="F275" s="3" t="s">
        <v>845</v>
      </c>
      <c r="G275" s="3" t="s">
        <v>840</v>
      </c>
      <c r="H275" s="2" t="str">
        <f>"2011"</f>
        <v>2011</v>
      </c>
      <c r="I275" t="s">
        <v>14</v>
      </c>
      <c r="J275" t="s">
        <v>15</v>
      </c>
    </row>
    <row r="276" spans="1:10">
      <c r="A276" s="2" t="str">
        <f>"273"</f>
        <v>273</v>
      </c>
      <c r="B276" s="2" t="s">
        <v>9</v>
      </c>
      <c r="C276" s="2" t="str">
        <f>"1 (1)"</f>
        <v>1 (1)</v>
      </c>
      <c r="D276" s="2" t="s">
        <v>849</v>
      </c>
      <c r="E276" s="5" t="s">
        <v>850</v>
      </c>
      <c r="F276" s="3" t="s">
        <v>845</v>
      </c>
      <c r="G276" s="3" t="s">
        <v>840</v>
      </c>
      <c r="H276" s="2" t="str">
        <f>"2012"</f>
        <v>2012</v>
      </c>
      <c r="I276" t="s">
        <v>14</v>
      </c>
      <c r="J276" t="s">
        <v>15</v>
      </c>
    </row>
    <row r="277" spans="1:10">
      <c r="A277" s="2" t="str">
        <f>"274"</f>
        <v>274</v>
      </c>
      <c r="B277" s="2" t="s">
        <v>9</v>
      </c>
      <c r="C277" s="2" t="str">
        <f>"1 (1)"</f>
        <v>1 (1)</v>
      </c>
      <c r="D277" s="2" t="s">
        <v>851</v>
      </c>
      <c r="E277" s="5" t="s">
        <v>852</v>
      </c>
      <c r="F277" s="3" t="s">
        <v>845</v>
      </c>
      <c r="G277" s="3" t="s">
        <v>840</v>
      </c>
      <c r="H277" s="2" t="str">
        <f>"2012"</f>
        <v>2012</v>
      </c>
      <c r="I277" t="s">
        <v>14</v>
      </c>
      <c r="J277" t="s">
        <v>15</v>
      </c>
    </row>
    <row r="278" spans="1:10">
      <c r="A278" s="2" t="str">
        <f>"275"</f>
        <v>275</v>
      </c>
      <c r="B278" s="2" t="s">
        <v>9</v>
      </c>
      <c r="C278" s="2" t="str">
        <f>"1 (1)"</f>
        <v>1 (1)</v>
      </c>
      <c r="D278" s="2" t="s">
        <v>853</v>
      </c>
      <c r="E278" s="5" t="s">
        <v>854</v>
      </c>
      <c r="F278" s="3" t="s">
        <v>855</v>
      </c>
      <c r="G278" s="3" t="s">
        <v>856</v>
      </c>
      <c r="H278" s="2" t="str">
        <f>"2012"</f>
        <v>2012</v>
      </c>
      <c r="I278" t="s">
        <v>14</v>
      </c>
      <c r="J278" t="s">
        <v>15</v>
      </c>
    </row>
    <row r="279" spans="1:10">
      <c r="A279" s="2" t="str">
        <f>"276"</f>
        <v>276</v>
      </c>
      <c r="B279" s="2" t="s">
        <v>9</v>
      </c>
      <c r="C279" s="2" t="str">
        <f>"1 (1)"</f>
        <v>1 (1)</v>
      </c>
      <c r="D279" s="2" t="s">
        <v>857</v>
      </c>
      <c r="E279" s="5" t="s">
        <v>858</v>
      </c>
      <c r="F279" s="3" t="s">
        <v>859</v>
      </c>
      <c r="G279" s="3" t="s">
        <v>860</v>
      </c>
      <c r="H279" s="2" t="str">
        <f>"2012"</f>
        <v>2012</v>
      </c>
      <c r="I279" t="s">
        <v>14</v>
      </c>
      <c r="J279" t="s">
        <v>15</v>
      </c>
    </row>
    <row r="280" spans="1:10">
      <c r="A280" s="2" t="str">
        <f>"277"</f>
        <v>277</v>
      </c>
      <c r="B280" s="2" t="s">
        <v>9</v>
      </c>
      <c r="C280" s="2" t="str">
        <f>"1 (1)"</f>
        <v>1 (1)</v>
      </c>
      <c r="D280" s="2" t="s">
        <v>861</v>
      </c>
      <c r="E280" s="5" t="s">
        <v>862</v>
      </c>
      <c r="F280" s="3" t="s">
        <v>863</v>
      </c>
      <c r="G280" s="3" t="s">
        <v>156</v>
      </c>
      <c r="H280" s="2" t="str">
        <f>"2012"</f>
        <v>2012</v>
      </c>
      <c r="I280" t="s">
        <v>14</v>
      </c>
      <c r="J280" t="s">
        <v>15</v>
      </c>
    </row>
    <row r="281" spans="1:10">
      <c r="A281" s="2" t="str">
        <f>"278"</f>
        <v>278</v>
      </c>
      <c r="B281" s="2" t="s">
        <v>9</v>
      </c>
      <c r="C281" s="2" t="str">
        <f>"1 (1)"</f>
        <v>1 (1)</v>
      </c>
      <c r="D281" s="2" t="s">
        <v>864</v>
      </c>
      <c r="E281" s="5" t="s">
        <v>154</v>
      </c>
      <c r="F281" s="3" t="s">
        <v>155</v>
      </c>
      <c r="G281" s="3" t="s">
        <v>156</v>
      </c>
      <c r="H281" s="2" t="str">
        <f>"2012"</f>
        <v>2012</v>
      </c>
      <c r="I281" t="s">
        <v>14</v>
      </c>
      <c r="J281" t="s">
        <v>15</v>
      </c>
    </row>
    <row r="282" spans="1:10">
      <c r="A282" s="2" t="str">
        <f>"279"</f>
        <v>279</v>
      </c>
      <c r="B282" s="2" t="s">
        <v>9</v>
      </c>
      <c r="C282" s="2" t="str">
        <f>"1 (1)"</f>
        <v>1 (1)</v>
      </c>
      <c r="D282" s="2" t="s">
        <v>865</v>
      </c>
      <c r="E282" s="5" t="s">
        <v>866</v>
      </c>
      <c r="F282" s="3" t="s">
        <v>867</v>
      </c>
      <c r="G282" s="3" t="s">
        <v>156</v>
      </c>
      <c r="H282" s="2" t="str">
        <f>"2012"</f>
        <v>2012</v>
      </c>
      <c r="I282" t="s">
        <v>14</v>
      </c>
      <c r="J282" t="s">
        <v>15</v>
      </c>
    </row>
    <row r="283" spans="1:10">
      <c r="A283" s="2" t="str">
        <f>"280"</f>
        <v>280</v>
      </c>
      <c r="B283" s="2" t="s">
        <v>9</v>
      </c>
      <c r="C283" s="2" t="str">
        <f>"1 (1)"</f>
        <v>1 (1)</v>
      </c>
      <c r="D283" s="2" t="s">
        <v>868</v>
      </c>
      <c r="E283" s="5" t="s">
        <v>869</v>
      </c>
      <c r="F283" s="3" t="s">
        <v>155</v>
      </c>
      <c r="G283" s="3" t="s">
        <v>156</v>
      </c>
      <c r="H283" s="2" t="str">
        <f>"2012"</f>
        <v>2012</v>
      </c>
      <c r="I283" t="s">
        <v>14</v>
      </c>
      <c r="J283" t="s">
        <v>15</v>
      </c>
    </row>
    <row r="284" spans="1:10">
      <c r="A284" s="2" t="str">
        <f>"281"</f>
        <v>281</v>
      </c>
      <c r="B284" s="2" t="s">
        <v>9</v>
      </c>
      <c r="C284" s="2" t="str">
        <f>"1 (1)"</f>
        <v>1 (1)</v>
      </c>
      <c r="D284" s="2" t="s">
        <v>870</v>
      </c>
      <c r="E284" s="5" t="s">
        <v>871</v>
      </c>
      <c r="F284" s="3" t="s">
        <v>872</v>
      </c>
      <c r="G284" s="3" t="s">
        <v>156</v>
      </c>
      <c r="H284" s="2" t="str">
        <f>"2012"</f>
        <v>2012</v>
      </c>
      <c r="I284" t="s">
        <v>14</v>
      </c>
      <c r="J284" t="s">
        <v>15</v>
      </c>
    </row>
    <row r="285" spans="1:10">
      <c r="A285" s="2" t="str">
        <f>"282"</f>
        <v>282</v>
      </c>
      <c r="B285" s="2" t="s">
        <v>9</v>
      </c>
      <c r="C285" s="2" t="str">
        <f>"1 (1)"</f>
        <v>1 (1)</v>
      </c>
      <c r="D285" s="2" t="s">
        <v>873</v>
      </c>
      <c r="E285" s="5" t="s">
        <v>874</v>
      </c>
      <c r="F285" s="3" t="s">
        <v>875</v>
      </c>
      <c r="G285" s="3" t="s">
        <v>876</v>
      </c>
      <c r="H285" s="2" t="str">
        <f>"2012"</f>
        <v>2012</v>
      </c>
      <c r="I285" t="s">
        <v>14</v>
      </c>
      <c r="J285" t="s">
        <v>15</v>
      </c>
    </row>
    <row r="286" spans="1:10">
      <c r="A286" s="2" t="str">
        <f>"283"</f>
        <v>283</v>
      </c>
      <c r="B286" s="2" t="s">
        <v>9</v>
      </c>
      <c r="C286" s="2" t="str">
        <f>"1 (1)"</f>
        <v>1 (1)</v>
      </c>
      <c r="D286" s="2" t="s">
        <v>877</v>
      </c>
      <c r="E286" s="5" t="s">
        <v>878</v>
      </c>
      <c r="F286" s="3" t="s">
        <v>879</v>
      </c>
      <c r="G286" s="3" t="s">
        <v>880</v>
      </c>
      <c r="H286" s="2" t="str">
        <f>"2012"</f>
        <v>2012</v>
      </c>
      <c r="I286" t="s">
        <v>14</v>
      </c>
      <c r="J286" t="s">
        <v>15</v>
      </c>
    </row>
    <row r="287" spans="1:10">
      <c r="A287" s="2" t="str">
        <f>"284"</f>
        <v>284</v>
      </c>
      <c r="B287" s="2" t="s">
        <v>9</v>
      </c>
      <c r="C287" s="2" t="str">
        <f>"1 (1)"</f>
        <v>1 (1)</v>
      </c>
      <c r="D287" s="2" t="s">
        <v>881</v>
      </c>
      <c r="E287" s="5" t="s">
        <v>882</v>
      </c>
      <c r="F287" s="3" t="s">
        <v>883</v>
      </c>
      <c r="G287" s="3" t="s">
        <v>884</v>
      </c>
      <c r="H287" s="2" t="str">
        <f>"2012"</f>
        <v>2012</v>
      </c>
      <c r="I287" t="s">
        <v>14</v>
      </c>
      <c r="J287" t="s">
        <v>15</v>
      </c>
    </row>
    <row r="288" spans="1:10">
      <c r="A288" s="2" t="str">
        <f>"285"</f>
        <v>285</v>
      </c>
      <c r="B288" s="2" t="s">
        <v>9</v>
      </c>
      <c r="C288" s="2" t="str">
        <f>"1 (1)"</f>
        <v>1 (1)</v>
      </c>
      <c r="D288" s="2" t="s">
        <v>885</v>
      </c>
      <c r="E288" s="5" t="s">
        <v>886</v>
      </c>
      <c r="F288" s="3" t="s">
        <v>887</v>
      </c>
      <c r="G288" s="3" t="s">
        <v>513</v>
      </c>
      <c r="H288" s="2" t="str">
        <f>"2012"</f>
        <v>2012</v>
      </c>
      <c r="I288" t="s">
        <v>14</v>
      </c>
      <c r="J288" t="s">
        <v>15</v>
      </c>
    </row>
    <row r="289" spans="1:10">
      <c r="A289" s="2" t="str">
        <f>"286"</f>
        <v>286</v>
      </c>
      <c r="B289" s="2" t="s">
        <v>9</v>
      </c>
      <c r="C289" s="2" t="str">
        <f>"1 (1)"</f>
        <v>1 (1)</v>
      </c>
      <c r="D289" s="2" t="s">
        <v>888</v>
      </c>
      <c r="E289" s="5" t="s">
        <v>889</v>
      </c>
      <c r="F289" s="3" t="s">
        <v>890</v>
      </c>
      <c r="G289" s="3" t="s">
        <v>891</v>
      </c>
      <c r="H289" s="2" t="str">
        <f>"2012"</f>
        <v>2012</v>
      </c>
      <c r="I289" t="s">
        <v>14</v>
      </c>
      <c r="J289" t="s">
        <v>15</v>
      </c>
    </row>
    <row r="290" spans="1:10">
      <c r="A290" s="2" t="str">
        <f>"287"</f>
        <v>287</v>
      </c>
      <c r="B290" s="2" t="s">
        <v>9</v>
      </c>
      <c r="C290" s="2" t="str">
        <f>"1 (1)"</f>
        <v>1 (1)</v>
      </c>
      <c r="D290" s="2" t="s">
        <v>892</v>
      </c>
      <c r="E290" s="5" t="s">
        <v>893</v>
      </c>
      <c r="F290" s="3" t="s">
        <v>894</v>
      </c>
      <c r="G290" s="3" t="s">
        <v>891</v>
      </c>
      <c r="H290" s="2" t="str">
        <f>"2011"</f>
        <v>2011</v>
      </c>
      <c r="I290" t="s">
        <v>14</v>
      </c>
      <c r="J290" t="s">
        <v>15</v>
      </c>
    </row>
    <row r="291" spans="1:10">
      <c r="A291" s="2" t="str">
        <f>"288"</f>
        <v>288</v>
      </c>
      <c r="B291" s="2" t="s">
        <v>9</v>
      </c>
      <c r="C291" s="2" t="str">
        <f>"1 (1)"</f>
        <v>1 (1)</v>
      </c>
      <c r="D291" s="2" t="s">
        <v>895</v>
      </c>
      <c r="E291" s="5" t="s">
        <v>896</v>
      </c>
      <c r="F291" s="3" t="s">
        <v>897</v>
      </c>
      <c r="G291" s="3" t="s">
        <v>898</v>
      </c>
      <c r="H291" s="2" t="str">
        <f>"2012"</f>
        <v>2012</v>
      </c>
      <c r="I291" t="s">
        <v>14</v>
      </c>
      <c r="J291" t="s">
        <v>15</v>
      </c>
    </row>
    <row r="292" spans="1:10">
      <c r="A292" s="2" t="str">
        <f>"289"</f>
        <v>289</v>
      </c>
      <c r="B292" s="2" t="s">
        <v>9</v>
      </c>
      <c r="C292" s="2" t="str">
        <f>"1 (1)"</f>
        <v>1 (1)</v>
      </c>
      <c r="D292" s="2" t="s">
        <v>899</v>
      </c>
      <c r="E292" s="5" t="s">
        <v>900</v>
      </c>
      <c r="F292" s="3" t="s">
        <v>901</v>
      </c>
      <c r="G292" s="3" t="s">
        <v>898</v>
      </c>
      <c r="H292" s="2" t="str">
        <f>"2012"</f>
        <v>2012</v>
      </c>
      <c r="I292" t="s">
        <v>14</v>
      </c>
      <c r="J292" t="s">
        <v>15</v>
      </c>
    </row>
    <row r="293" spans="1:10">
      <c r="A293" s="2" t="str">
        <f>"290"</f>
        <v>290</v>
      </c>
      <c r="B293" s="2" t="s">
        <v>9</v>
      </c>
      <c r="C293" s="2" t="str">
        <f>"1 (1)"</f>
        <v>1 (1)</v>
      </c>
      <c r="D293" s="2" t="s">
        <v>902</v>
      </c>
      <c r="E293" s="5" t="s">
        <v>903</v>
      </c>
      <c r="F293" s="3" t="s">
        <v>904</v>
      </c>
      <c r="G293" s="3" t="s">
        <v>564</v>
      </c>
      <c r="H293" s="2" t="str">
        <f>"2012"</f>
        <v>2012</v>
      </c>
      <c r="I293" t="s">
        <v>14</v>
      </c>
      <c r="J293" t="s">
        <v>15</v>
      </c>
    </row>
    <row r="294" spans="1:10">
      <c r="A294" s="2" t="str">
        <f>"291"</f>
        <v>291</v>
      </c>
      <c r="B294" s="2" t="s">
        <v>9</v>
      </c>
      <c r="C294" s="2" t="str">
        <f>"1 (1)"</f>
        <v>1 (1)</v>
      </c>
      <c r="D294" s="2" t="s">
        <v>905</v>
      </c>
      <c r="E294" s="5" t="s">
        <v>906</v>
      </c>
      <c r="F294" s="3" t="s">
        <v>907</v>
      </c>
      <c r="G294" s="3" t="s">
        <v>564</v>
      </c>
      <c r="H294" s="2" t="str">
        <f>"2012"</f>
        <v>2012</v>
      </c>
      <c r="I294" t="s">
        <v>14</v>
      </c>
      <c r="J294" t="s">
        <v>15</v>
      </c>
    </row>
    <row r="295" spans="1:10">
      <c r="A295" s="2" t="str">
        <f>"292"</f>
        <v>292</v>
      </c>
      <c r="B295" s="2" t="s">
        <v>9</v>
      </c>
      <c r="C295" s="2" t="str">
        <f>"1 (1)"</f>
        <v>1 (1)</v>
      </c>
      <c r="D295" s="2" t="s">
        <v>908</v>
      </c>
      <c r="E295" s="5" t="s">
        <v>909</v>
      </c>
      <c r="F295" s="3" t="s">
        <v>910</v>
      </c>
      <c r="G295" s="3" t="s">
        <v>257</v>
      </c>
      <c r="H295" s="2" t="str">
        <f>"2012"</f>
        <v>2012</v>
      </c>
      <c r="I295" t="s">
        <v>14</v>
      </c>
      <c r="J295" t="s">
        <v>15</v>
      </c>
    </row>
    <row r="296" spans="1:10">
      <c r="A296" s="2" t="str">
        <f>"293"</f>
        <v>293</v>
      </c>
      <c r="B296" s="2" t="s">
        <v>9</v>
      </c>
      <c r="C296" s="2" t="str">
        <f>"1 (1)"</f>
        <v>1 (1)</v>
      </c>
      <c r="D296" s="2" t="s">
        <v>911</v>
      </c>
      <c r="E296" s="5" t="s">
        <v>912</v>
      </c>
      <c r="F296" s="3" t="s">
        <v>913</v>
      </c>
      <c r="G296" s="3" t="s">
        <v>257</v>
      </c>
      <c r="H296" s="2" t="str">
        <f>"2012"</f>
        <v>2012</v>
      </c>
      <c r="I296" t="s">
        <v>14</v>
      </c>
      <c r="J296" t="s">
        <v>15</v>
      </c>
    </row>
    <row r="297" spans="1:10">
      <c r="A297" s="2" t="str">
        <f>"294"</f>
        <v>294</v>
      </c>
      <c r="B297" s="2" t="s">
        <v>9</v>
      </c>
      <c r="C297" s="2" t="str">
        <f>"1 (1)"</f>
        <v>1 (1)</v>
      </c>
      <c r="D297" s="2" t="s">
        <v>914</v>
      </c>
      <c r="E297" s="5" t="s">
        <v>915</v>
      </c>
      <c r="F297" s="3" t="s">
        <v>916</v>
      </c>
      <c r="G297" s="3" t="s">
        <v>257</v>
      </c>
      <c r="H297" s="2" t="str">
        <f>"2012"</f>
        <v>2012</v>
      </c>
      <c r="I297" t="s">
        <v>14</v>
      </c>
      <c r="J297" t="s">
        <v>15</v>
      </c>
    </row>
    <row r="298" spans="1:10">
      <c r="A298" s="2" t="str">
        <f>"295"</f>
        <v>295</v>
      </c>
      <c r="B298" s="2" t="s">
        <v>9</v>
      </c>
      <c r="C298" s="2" t="str">
        <f>"1 (1)"</f>
        <v>1 (1)</v>
      </c>
      <c r="D298" s="2" t="s">
        <v>917</v>
      </c>
      <c r="E298" s="5" t="s">
        <v>918</v>
      </c>
      <c r="F298" s="3" t="s">
        <v>919</v>
      </c>
      <c r="G298" s="3" t="s">
        <v>257</v>
      </c>
      <c r="H298" s="2" t="str">
        <f>"2012"</f>
        <v>2012</v>
      </c>
      <c r="I298" t="s">
        <v>14</v>
      </c>
      <c r="J298" t="s">
        <v>15</v>
      </c>
    </row>
    <row r="299" spans="1:10">
      <c r="A299" s="2" t="str">
        <f>"296"</f>
        <v>296</v>
      </c>
      <c r="B299" s="2" t="s">
        <v>9</v>
      </c>
      <c r="C299" s="2" t="str">
        <f>"1 (1)"</f>
        <v>1 (1)</v>
      </c>
      <c r="D299" s="2" t="s">
        <v>920</v>
      </c>
      <c r="E299" s="5" t="s">
        <v>921</v>
      </c>
      <c r="F299" s="3" t="s">
        <v>922</v>
      </c>
      <c r="G299" s="3" t="s">
        <v>257</v>
      </c>
      <c r="H299" s="2" t="str">
        <f>"2012"</f>
        <v>2012</v>
      </c>
      <c r="I299" t="s">
        <v>14</v>
      </c>
      <c r="J299" t="s">
        <v>15</v>
      </c>
    </row>
    <row r="300" spans="1:10">
      <c r="A300" s="2" t="str">
        <f>"297"</f>
        <v>297</v>
      </c>
      <c r="B300" s="2" t="s">
        <v>9</v>
      </c>
      <c r="C300" s="2" t="str">
        <f>"1 (1)"</f>
        <v>1 (1)</v>
      </c>
      <c r="D300" s="2" t="s">
        <v>923</v>
      </c>
      <c r="E300" s="5" t="s">
        <v>924</v>
      </c>
      <c r="F300" s="3" t="s">
        <v>925</v>
      </c>
      <c r="G300" s="3" t="s">
        <v>926</v>
      </c>
      <c r="H300" s="2" t="str">
        <f>"2012"</f>
        <v>2012</v>
      </c>
      <c r="I300" t="s">
        <v>14</v>
      </c>
      <c r="J300" t="s">
        <v>15</v>
      </c>
    </row>
    <row r="301" spans="1:10">
      <c r="A301" s="2" t="str">
        <f>"298"</f>
        <v>298</v>
      </c>
      <c r="B301" s="2" t="s">
        <v>9</v>
      </c>
      <c r="C301" s="2" t="str">
        <f>"1 (1)"</f>
        <v>1 (1)</v>
      </c>
      <c r="D301" s="2" t="s">
        <v>927</v>
      </c>
      <c r="E301" s="5" t="s">
        <v>928</v>
      </c>
      <c r="F301" s="3" t="s">
        <v>929</v>
      </c>
      <c r="G301" s="3" t="s">
        <v>617</v>
      </c>
      <c r="H301" s="2" t="str">
        <f>"2012"</f>
        <v>2012</v>
      </c>
      <c r="I301" t="s">
        <v>14</v>
      </c>
      <c r="J301" t="s">
        <v>15</v>
      </c>
    </row>
    <row r="302" spans="1:10">
      <c r="A302" s="2" t="str">
        <f>"299"</f>
        <v>299</v>
      </c>
      <c r="B302" s="2" t="s">
        <v>9</v>
      </c>
      <c r="C302" s="2" t="str">
        <f>"1 (1)"</f>
        <v>1 (1)</v>
      </c>
      <c r="D302" s="2" t="s">
        <v>930</v>
      </c>
      <c r="E302" s="5" t="s">
        <v>931</v>
      </c>
      <c r="F302" s="3" t="s">
        <v>932</v>
      </c>
      <c r="G302" s="3" t="s">
        <v>66</v>
      </c>
      <c r="H302" s="2" t="str">
        <f>"2012"</f>
        <v>2012</v>
      </c>
      <c r="I302" t="s">
        <v>14</v>
      </c>
      <c r="J302" t="s">
        <v>15</v>
      </c>
    </row>
    <row r="303" spans="1:10">
      <c r="A303" s="2" t="str">
        <f>"300"</f>
        <v>300</v>
      </c>
      <c r="B303" s="2" t="s">
        <v>9</v>
      </c>
      <c r="C303" s="2" t="str">
        <f>"1 (1)"</f>
        <v>1 (1)</v>
      </c>
      <c r="D303" s="2" t="s">
        <v>933</v>
      </c>
      <c r="E303" s="5" t="s">
        <v>934</v>
      </c>
      <c r="F303" s="3" t="s">
        <v>935</v>
      </c>
      <c r="G303" s="3" t="s">
        <v>936</v>
      </c>
      <c r="H303" s="2" t="str">
        <f>"2012"</f>
        <v>2012</v>
      </c>
      <c r="I303" t="s">
        <v>14</v>
      </c>
      <c r="J303" t="s">
        <v>15</v>
      </c>
    </row>
    <row r="304" spans="1:10">
      <c r="A304" s="2" t="str">
        <f>"301"</f>
        <v>301</v>
      </c>
      <c r="B304" s="2" t="s">
        <v>9</v>
      </c>
      <c r="C304" s="2" t="str">
        <f>"1 (1)"</f>
        <v>1 (1)</v>
      </c>
      <c r="D304" s="2" t="s">
        <v>937</v>
      </c>
      <c r="E304" s="5" t="s">
        <v>938</v>
      </c>
      <c r="F304" s="3" t="s">
        <v>939</v>
      </c>
      <c r="G304" s="3" t="s">
        <v>349</v>
      </c>
      <c r="H304" s="2" t="str">
        <f>"2012"</f>
        <v>2012</v>
      </c>
      <c r="I304" t="s">
        <v>14</v>
      </c>
      <c r="J304" t="s">
        <v>15</v>
      </c>
    </row>
    <row r="305" spans="1:10">
      <c r="A305" s="2" t="str">
        <f>"302"</f>
        <v>302</v>
      </c>
      <c r="B305" s="2" t="s">
        <v>9</v>
      </c>
      <c r="C305" s="2" t="str">
        <f>"1 (1)"</f>
        <v>1 (1)</v>
      </c>
      <c r="D305" s="2" t="s">
        <v>940</v>
      </c>
      <c r="E305" s="5" t="s">
        <v>941</v>
      </c>
      <c r="F305" s="3" t="s">
        <v>942</v>
      </c>
      <c r="G305" s="3" t="s">
        <v>943</v>
      </c>
      <c r="H305" s="2" t="str">
        <f>"2012"</f>
        <v>2012</v>
      </c>
      <c r="I305" t="s">
        <v>14</v>
      </c>
      <c r="J305" t="s">
        <v>15</v>
      </c>
    </row>
    <row r="306" spans="1:10">
      <c r="A306" s="2" t="str">
        <f>"303"</f>
        <v>303</v>
      </c>
      <c r="B306" s="2" t="s">
        <v>9</v>
      </c>
      <c r="C306" s="2" t="str">
        <f>"1 (1)"</f>
        <v>1 (1)</v>
      </c>
      <c r="D306" s="2" t="s">
        <v>944</v>
      </c>
      <c r="E306" s="5" t="s">
        <v>945</v>
      </c>
      <c r="F306" s="3" t="s">
        <v>946</v>
      </c>
      <c r="G306" s="3" t="s">
        <v>82</v>
      </c>
      <c r="H306" s="2" t="str">
        <f>"2012"</f>
        <v>2012</v>
      </c>
      <c r="I306" t="s">
        <v>14</v>
      </c>
      <c r="J306" t="s">
        <v>15</v>
      </c>
    </row>
    <row r="307" spans="1:10">
      <c r="A307" s="2" t="str">
        <f>"304"</f>
        <v>304</v>
      </c>
      <c r="B307" s="2" t="s">
        <v>9</v>
      </c>
      <c r="C307" s="2" t="str">
        <f>"1 (1)"</f>
        <v>1 (1)</v>
      </c>
      <c r="D307" s="2" t="s">
        <v>947</v>
      </c>
      <c r="E307" s="5" t="s">
        <v>948</v>
      </c>
      <c r="F307" s="3" t="s">
        <v>949</v>
      </c>
      <c r="G307" s="3" t="s">
        <v>950</v>
      </c>
      <c r="H307" s="2" t="str">
        <f>"2012"</f>
        <v>2012</v>
      </c>
      <c r="I307" t="s">
        <v>14</v>
      </c>
      <c r="J307" t="s">
        <v>15</v>
      </c>
    </row>
    <row r="308" spans="1:10">
      <c r="A308" s="2" t="str">
        <f>"305"</f>
        <v>305</v>
      </c>
      <c r="B308" s="2" t="s">
        <v>9</v>
      </c>
      <c r="C308" s="2" t="str">
        <f>"1 (1)"</f>
        <v>1 (1)</v>
      </c>
      <c r="D308" s="2" t="s">
        <v>951</v>
      </c>
      <c r="E308" s="5" t="s">
        <v>952</v>
      </c>
      <c r="F308" s="3" t="s">
        <v>953</v>
      </c>
      <c r="G308" s="3" t="s">
        <v>360</v>
      </c>
      <c r="H308" s="2" t="str">
        <f>"2012"</f>
        <v>2012</v>
      </c>
      <c r="I308" t="s">
        <v>14</v>
      </c>
      <c r="J308" t="s">
        <v>15</v>
      </c>
    </row>
    <row r="309" spans="1:10">
      <c r="A309" s="2" t="str">
        <f>"306"</f>
        <v>306</v>
      </c>
      <c r="B309" s="2" t="s">
        <v>9</v>
      </c>
      <c r="C309" s="2" t="str">
        <f>"1 (1)"</f>
        <v>1 (1)</v>
      </c>
      <c r="D309" s="2" t="s">
        <v>954</v>
      </c>
      <c r="E309" s="5" t="s">
        <v>955</v>
      </c>
      <c r="F309" s="3" t="s">
        <v>953</v>
      </c>
      <c r="G309" s="3" t="s">
        <v>360</v>
      </c>
      <c r="H309" s="2" t="str">
        <f>"2012"</f>
        <v>2012</v>
      </c>
      <c r="I309" t="s">
        <v>14</v>
      </c>
      <c r="J309" t="s">
        <v>15</v>
      </c>
    </row>
    <row r="310" spans="1:10">
      <c r="A310" s="2" t="str">
        <f>"307"</f>
        <v>307</v>
      </c>
      <c r="B310" s="2" t="s">
        <v>9</v>
      </c>
      <c r="C310" s="2" t="str">
        <f>"1 (1)"</f>
        <v>1 (1)</v>
      </c>
      <c r="D310" s="2" t="s">
        <v>956</v>
      </c>
      <c r="E310" s="5" t="s">
        <v>957</v>
      </c>
      <c r="F310" s="3" t="s">
        <v>953</v>
      </c>
      <c r="G310" s="3" t="s">
        <v>360</v>
      </c>
      <c r="H310" s="2" t="str">
        <f>"2012"</f>
        <v>2012</v>
      </c>
      <c r="I310" t="s">
        <v>14</v>
      </c>
      <c r="J310" t="s">
        <v>15</v>
      </c>
    </row>
    <row r="311" spans="1:10">
      <c r="A311" s="2" t="str">
        <f>"308"</f>
        <v>308</v>
      </c>
      <c r="B311" s="2" t="s">
        <v>9</v>
      </c>
      <c r="C311" s="2" t="str">
        <f>"1 (1)"</f>
        <v>1 (1)</v>
      </c>
      <c r="D311" s="2" t="s">
        <v>958</v>
      </c>
      <c r="E311" s="5" t="s">
        <v>959</v>
      </c>
      <c r="F311" s="3" t="s">
        <v>960</v>
      </c>
      <c r="G311" s="3" t="s">
        <v>373</v>
      </c>
      <c r="H311" s="2" t="str">
        <f>"2012"</f>
        <v>2012</v>
      </c>
      <c r="I311" t="s">
        <v>14</v>
      </c>
      <c r="J311" t="s">
        <v>15</v>
      </c>
    </row>
    <row r="312" spans="1:10">
      <c r="A312" s="2" t="str">
        <f>"309"</f>
        <v>309</v>
      </c>
      <c r="B312" s="2" t="s">
        <v>9</v>
      </c>
      <c r="C312" s="2" t="str">
        <f>"1 (1)"</f>
        <v>1 (1)</v>
      </c>
      <c r="D312" s="2" t="s">
        <v>961</v>
      </c>
      <c r="E312" s="5" t="s">
        <v>962</v>
      </c>
      <c r="F312" s="3" t="s">
        <v>963</v>
      </c>
      <c r="G312" s="3" t="s">
        <v>964</v>
      </c>
      <c r="H312" s="2" t="str">
        <f>"2012"</f>
        <v>2012</v>
      </c>
      <c r="I312" t="s">
        <v>14</v>
      </c>
      <c r="J312" t="s">
        <v>15</v>
      </c>
    </row>
    <row r="313" spans="1:10">
      <c r="A313" s="2" t="str">
        <f>"310"</f>
        <v>310</v>
      </c>
      <c r="B313" s="2" t="s">
        <v>9</v>
      </c>
      <c r="C313" s="2" t="str">
        <f>"1 (1)"</f>
        <v>1 (1)</v>
      </c>
      <c r="D313" s="2" t="s">
        <v>965</v>
      </c>
      <c r="E313" s="5" t="s">
        <v>966</v>
      </c>
      <c r="F313" s="3" t="s">
        <v>967</v>
      </c>
      <c r="G313" s="3" t="s">
        <v>968</v>
      </c>
      <c r="H313" s="2" t="str">
        <f>"2012"</f>
        <v>2012</v>
      </c>
      <c r="I313" t="s">
        <v>14</v>
      </c>
      <c r="J313" t="s">
        <v>15</v>
      </c>
    </row>
    <row r="314" spans="1:10">
      <c r="A314" s="2" t="str">
        <f>"311"</f>
        <v>311</v>
      </c>
      <c r="B314" s="2" t="s">
        <v>9</v>
      </c>
      <c r="C314" s="2" t="str">
        <f>"1 (1)"</f>
        <v>1 (1)</v>
      </c>
      <c r="D314" s="2" t="s">
        <v>969</v>
      </c>
      <c r="E314" s="5" t="s">
        <v>970</v>
      </c>
      <c r="F314" s="3" t="s">
        <v>971</v>
      </c>
      <c r="G314" s="3" t="s">
        <v>972</v>
      </c>
      <c r="H314" s="2" t="str">
        <f>"2012"</f>
        <v>2012</v>
      </c>
      <c r="I314" t="s">
        <v>14</v>
      </c>
      <c r="J314" t="s">
        <v>15</v>
      </c>
    </row>
    <row r="315" spans="1:10">
      <c r="A315" s="2" t="str">
        <f>"312"</f>
        <v>312</v>
      </c>
      <c r="B315" s="2" t="s">
        <v>9</v>
      </c>
      <c r="C315" s="2" t="str">
        <f>"1 (1)"</f>
        <v>1 (1)</v>
      </c>
      <c r="D315" s="2" t="s">
        <v>973</v>
      </c>
      <c r="E315" s="5" t="s">
        <v>974</v>
      </c>
      <c r="F315" s="3" t="s">
        <v>975</v>
      </c>
      <c r="G315" s="3" t="s">
        <v>976</v>
      </c>
      <c r="H315" s="2" t="str">
        <f>"2012"</f>
        <v>2012</v>
      </c>
      <c r="I315" t="s">
        <v>14</v>
      </c>
      <c r="J315" t="s">
        <v>15</v>
      </c>
    </row>
    <row r="316" spans="1:10">
      <c r="A316" s="2" t="str">
        <f>"313"</f>
        <v>313</v>
      </c>
      <c r="B316" s="2" t="s">
        <v>9</v>
      </c>
      <c r="C316" s="2" t="str">
        <f>"1 (1)"</f>
        <v>1 (1)</v>
      </c>
      <c r="D316" s="2" t="s">
        <v>977</v>
      </c>
      <c r="E316" s="5" t="s">
        <v>978</v>
      </c>
      <c r="F316" s="3" t="s">
        <v>979</v>
      </c>
      <c r="G316" s="3" t="s">
        <v>980</v>
      </c>
      <c r="H316" s="2" t="str">
        <f>"2012"</f>
        <v>2012</v>
      </c>
      <c r="I316" t="s">
        <v>14</v>
      </c>
      <c r="J316" t="s">
        <v>15</v>
      </c>
    </row>
    <row r="317" spans="1:10">
      <c r="A317" s="2" t="str">
        <f>"314"</f>
        <v>314</v>
      </c>
      <c r="B317" s="2" t="s">
        <v>9</v>
      </c>
      <c r="C317" s="2" t="str">
        <f>"1 (1)"</f>
        <v>1 (1)</v>
      </c>
      <c r="D317" s="2" t="s">
        <v>981</v>
      </c>
      <c r="E317" s="5" t="s">
        <v>982</v>
      </c>
      <c r="F317" s="3" t="s">
        <v>983</v>
      </c>
      <c r="G317" s="3" t="s">
        <v>35</v>
      </c>
      <c r="H317" s="2" t="str">
        <f>"2012"</f>
        <v>2012</v>
      </c>
      <c r="I317" t="s">
        <v>14</v>
      </c>
      <c r="J317" t="s">
        <v>15</v>
      </c>
    </row>
    <row r="318" spans="1:10">
      <c r="A318" s="2" t="str">
        <f>"315"</f>
        <v>315</v>
      </c>
      <c r="B318" s="2" t="s">
        <v>9</v>
      </c>
      <c r="C318" s="2" t="str">
        <f>"1 (1)"</f>
        <v>1 (1)</v>
      </c>
      <c r="D318" s="2" t="s">
        <v>984</v>
      </c>
      <c r="E318" s="5" t="s">
        <v>985</v>
      </c>
      <c r="F318" s="3" t="s">
        <v>986</v>
      </c>
      <c r="G318" s="3" t="s">
        <v>987</v>
      </c>
      <c r="H318" s="2" t="str">
        <f>"2012"</f>
        <v>2012</v>
      </c>
      <c r="I318" t="s">
        <v>14</v>
      </c>
      <c r="J318" t="s">
        <v>15</v>
      </c>
    </row>
    <row r="319" spans="1:10">
      <c r="A319" s="2" t="str">
        <f>"316"</f>
        <v>316</v>
      </c>
      <c r="B319" s="2" t="s">
        <v>9</v>
      </c>
      <c r="C319" s="2" t="str">
        <f>"1 (1)"</f>
        <v>1 (1)</v>
      </c>
      <c r="D319" s="2" t="s">
        <v>988</v>
      </c>
      <c r="E319" s="5" t="s">
        <v>989</v>
      </c>
      <c r="F319" s="3" t="s">
        <v>990</v>
      </c>
      <c r="G319" s="3" t="s">
        <v>991</v>
      </c>
      <c r="H319" s="2" t="str">
        <f>"2012"</f>
        <v>2012</v>
      </c>
      <c r="I319" t="s">
        <v>14</v>
      </c>
      <c r="J319" t="s">
        <v>15</v>
      </c>
    </row>
    <row r="320" spans="1:10">
      <c r="A320" s="2" t="str">
        <f>"317"</f>
        <v>317</v>
      </c>
      <c r="B320" s="2" t="s">
        <v>9</v>
      </c>
      <c r="C320" s="2" t="str">
        <f>"1 (1)"</f>
        <v>1 (1)</v>
      </c>
      <c r="D320" s="2" t="s">
        <v>992</v>
      </c>
      <c r="E320" s="5" t="s">
        <v>993</v>
      </c>
      <c r="F320" s="3" t="s">
        <v>994</v>
      </c>
      <c r="G320" s="3" t="s">
        <v>995</v>
      </c>
      <c r="H320" s="2" t="str">
        <f>"2012"</f>
        <v>2012</v>
      </c>
      <c r="I320" t="s">
        <v>14</v>
      </c>
      <c r="J320" t="s">
        <v>15</v>
      </c>
    </row>
    <row r="321" spans="1:10">
      <c r="A321" s="2" t="str">
        <f>"318"</f>
        <v>318</v>
      </c>
      <c r="B321" s="2" t="s">
        <v>9</v>
      </c>
      <c r="C321" s="2" t="str">
        <f>"1 (1)"</f>
        <v>1 (1)</v>
      </c>
      <c r="D321" s="2" t="s">
        <v>996</v>
      </c>
      <c r="E321" s="5" t="s">
        <v>997</v>
      </c>
      <c r="F321" s="3" t="s">
        <v>998</v>
      </c>
      <c r="G321" s="3" t="s">
        <v>999</v>
      </c>
      <c r="H321" s="2" t="str">
        <f>"2012"</f>
        <v>2012</v>
      </c>
      <c r="I321" t="s">
        <v>14</v>
      </c>
      <c r="J321" t="s">
        <v>15</v>
      </c>
    </row>
    <row r="322" spans="1:10">
      <c r="A322" s="2" t="str">
        <f>"319"</f>
        <v>319</v>
      </c>
      <c r="B322" s="2" t="s">
        <v>9</v>
      </c>
      <c r="C322" s="2" t="str">
        <f>"1 (1)"</f>
        <v>1 (1)</v>
      </c>
      <c r="D322" s="2" t="s">
        <v>1000</v>
      </c>
      <c r="E322" s="5" t="s">
        <v>1001</v>
      </c>
      <c r="F322" s="3" t="s">
        <v>1002</v>
      </c>
      <c r="G322" s="3" t="s">
        <v>1003</v>
      </c>
      <c r="H322" s="2" t="str">
        <f>"2012"</f>
        <v>2012</v>
      </c>
      <c r="I322" t="s">
        <v>14</v>
      </c>
      <c r="J322" t="s">
        <v>15</v>
      </c>
    </row>
    <row r="323" spans="1:10">
      <c r="A323" s="2" t="str">
        <f>"320"</f>
        <v>320</v>
      </c>
      <c r="B323" s="2" t="s">
        <v>9</v>
      </c>
      <c r="C323" s="2" t="str">
        <f>"1 (1)"</f>
        <v>1 (1)</v>
      </c>
      <c r="D323" s="2" t="s">
        <v>1004</v>
      </c>
      <c r="E323" s="5" t="s">
        <v>1005</v>
      </c>
      <c r="F323" s="3" t="s">
        <v>1006</v>
      </c>
      <c r="G323" s="3" t="s">
        <v>1003</v>
      </c>
      <c r="H323" s="2" t="str">
        <f>"2012"</f>
        <v>2012</v>
      </c>
      <c r="I323" t="s">
        <v>14</v>
      </c>
      <c r="J323" t="s">
        <v>15</v>
      </c>
    </row>
    <row r="324" spans="1:10">
      <c r="A324" s="2" t="str">
        <f>"321"</f>
        <v>321</v>
      </c>
      <c r="B324" s="2" t="s">
        <v>9</v>
      </c>
      <c r="C324" s="2" t="str">
        <f>"1 (1)"</f>
        <v>1 (1)</v>
      </c>
      <c r="D324" s="2" t="s">
        <v>1007</v>
      </c>
      <c r="E324" s="5" t="s">
        <v>1008</v>
      </c>
      <c r="F324" s="3" t="s">
        <v>1009</v>
      </c>
      <c r="G324" s="3" t="s">
        <v>1010</v>
      </c>
      <c r="H324" s="2" t="str">
        <f>"2012"</f>
        <v>2012</v>
      </c>
      <c r="I324" t="s">
        <v>14</v>
      </c>
      <c r="J324" t="s">
        <v>15</v>
      </c>
    </row>
    <row r="325" spans="1:10">
      <c r="A325" s="2" t="str">
        <f>"322"</f>
        <v>322</v>
      </c>
      <c r="B325" s="2" t="s">
        <v>9</v>
      </c>
      <c r="C325" s="2" t="str">
        <f>"1 (1)"</f>
        <v>1 (1)</v>
      </c>
      <c r="D325" s="2" t="s">
        <v>1011</v>
      </c>
      <c r="E325" s="5" t="s">
        <v>1012</v>
      </c>
      <c r="F325" s="3" t="s">
        <v>1013</v>
      </c>
      <c r="G325" s="3" t="s">
        <v>436</v>
      </c>
      <c r="H325" s="2" t="str">
        <f>"2012"</f>
        <v>2012</v>
      </c>
      <c r="I325" t="s">
        <v>14</v>
      </c>
      <c r="J325" t="s">
        <v>15</v>
      </c>
    </row>
    <row r="326" spans="1:10">
      <c r="A326" s="2" t="str">
        <f>"323"</f>
        <v>323</v>
      </c>
      <c r="B326" s="2" t="s">
        <v>9</v>
      </c>
      <c r="C326" s="2" t="str">
        <f>"1 (1)"</f>
        <v>1 (1)</v>
      </c>
      <c r="D326" s="2" t="s">
        <v>1014</v>
      </c>
      <c r="E326" s="5" t="s">
        <v>1015</v>
      </c>
      <c r="F326" s="3" t="s">
        <v>1016</v>
      </c>
      <c r="G326" s="3" t="s">
        <v>1017</v>
      </c>
      <c r="H326" s="2" t="str">
        <f>"2012"</f>
        <v>2012</v>
      </c>
      <c r="I326" t="s">
        <v>14</v>
      </c>
      <c r="J326" t="s">
        <v>15</v>
      </c>
    </row>
    <row r="327" spans="1:10">
      <c r="A327" s="2" t="str">
        <f>"324"</f>
        <v>324</v>
      </c>
      <c r="B327" s="2" t="s">
        <v>9</v>
      </c>
      <c r="C327" s="2" t="str">
        <f>"1 (1)"</f>
        <v>1 (1)</v>
      </c>
      <c r="D327" s="2" t="s">
        <v>1018</v>
      </c>
      <c r="E327" s="5" t="s">
        <v>1019</v>
      </c>
      <c r="F327" s="3" t="s">
        <v>1020</v>
      </c>
      <c r="G327" s="3" t="s">
        <v>130</v>
      </c>
      <c r="H327" s="2" t="str">
        <f>"2012"</f>
        <v>2012</v>
      </c>
      <c r="I327" t="s">
        <v>14</v>
      </c>
      <c r="J327" t="s">
        <v>15</v>
      </c>
    </row>
    <row r="328" spans="1:10">
      <c r="A328" s="2" t="str">
        <f>"325"</f>
        <v>325</v>
      </c>
      <c r="B328" s="2" t="s">
        <v>9</v>
      </c>
      <c r="C328" s="2" t="str">
        <f>"1 (1)"</f>
        <v>1 (1)</v>
      </c>
      <c r="D328" s="2" t="s">
        <v>1021</v>
      </c>
      <c r="E328" s="5" t="s">
        <v>1022</v>
      </c>
      <c r="F328" s="3" t="s">
        <v>1023</v>
      </c>
      <c r="G328" s="3" t="s">
        <v>1024</v>
      </c>
      <c r="H328" s="2" t="str">
        <f>"2012"</f>
        <v>2012</v>
      </c>
      <c r="I328" t="s">
        <v>14</v>
      </c>
      <c r="J328" t="s">
        <v>15</v>
      </c>
    </row>
    <row r="329" spans="1:10">
      <c r="A329" s="2" t="str">
        <f>"326"</f>
        <v>326</v>
      </c>
      <c r="B329" s="2" t="s">
        <v>9</v>
      </c>
      <c r="C329" s="2" t="str">
        <f>"1 (1)"</f>
        <v>1 (1)</v>
      </c>
      <c r="D329" s="2" t="s">
        <v>1025</v>
      </c>
      <c r="E329" s="5" t="s">
        <v>1026</v>
      </c>
      <c r="F329" s="3" t="s">
        <v>1027</v>
      </c>
      <c r="G329" s="3" t="s">
        <v>156</v>
      </c>
      <c r="H329" s="2" t="str">
        <f>"2012"</f>
        <v>2012</v>
      </c>
      <c r="I329" t="s">
        <v>14</v>
      </c>
      <c r="J329" t="s">
        <v>15</v>
      </c>
    </row>
    <row r="330" spans="1:10">
      <c r="A330" s="2" t="str">
        <f>"327"</f>
        <v>327</v>
      </c>
      <c r="B330" s="2" t="s">
        <v>9</v>
      </c>
      <c r="C330" s="2" t="str">
        <f>"1 (1)"</f>
        <v>1 (1)</v>
      </c>
      <c r="D330" s="2" t="s">
        <v>1028</v>
      </c>
      <c r="E330" s="5" t="s">
        <v>1029</v>
      </c>
      <c r="F330" s="3" t="s">
        <v>1030</v>
      </c>
      <c r="G330" s="3" t="s">
        <v>156</v>
      </c>
      <c r="H330" s="2" t="str">
        <f>"2012"</f>
        <v>2012</v>
      </c>
      <c r="I330" t="s">
        <v>14</v>
      </c>
      <c r="J330" t="s">
        <v>15</v>
      </c>
    </row>
    <row r="331" spans="1:10">
      <c r="A331" s="2" t="str">
        <f>"328"</f>
        <v>328</v>
      </c>
      <c r="B331" s="2" t="s">
        <v>9</v>
      </c>
      <c r="C331" s="2" t="str">
        <f>"1 (1)"</f>
        <v>1 (1)</v>
      </c>
      <c r="D331" s="2" t="s">
        <v>1031</v>
      </c>
      <c r="E331" s="5" t="s">
        <v>1032</v>
      </c>
      <c r="F331" s="3" t="s">
        <v>1033</v>
      </c>
      <c r="G331" s="3" t="s">
        <v>156</v>
      </c>
      <c r="H331" s="2" t="str">
        <f>"2012"</f>
        <v>2012</v>
      </c>
      <c r="I331" t="s">
        <v>14</v>
      </c>
      <c r="J331" t="s">
        <v>15</v>
      </c>
    </row>
    <row r="332" spans="1:10">
      <c r="A332" s="2" t="str">
        <f>"329"</f>
        <v>329</v>
      </c>
      <c r="B332" s="2" t="s">
        <v>9</v>
      </c>
      <c r="C332" s="2" t="str">
        <f>"1 (1)"</f>
        <v>1 (1)</v>
      </c>
      <c r="D332" s="2" t="s">
        <v>1034</v>
      </c>
      <c r="E332" s="5" t="s">
        <v>1035</v>
      </c>
      <c r="F332" s="3" t="s">
        <v>1036</v>
      </c>
      <c r="G332" s="3" t="s">
        <v>156</v>
      </c>
      <c r="H332" s="2" t="str">
        <f>"2012"</f>
        <v>2012</v>
      </c>
      <c r="I332" t="s">
        <v>14</v>
      </c>
      <c r="J332" t="s">
        <v>15</v>
      </c>
    </row>
    <row r="333" spans="1:10">
      <c r="A333" s="2" t="str">
        <f>"330"</f>
        <v>330</v>
      </c>
      <c r="B333" s="2" t="s">
        <v>9</v>
      </c>
      <c r="C333" s="2" t="str">
        <f>"1 (1)"</f>
        <v>1 (1)</v>
      </c>
      <c r="D333" s="2" t="s">
        <v>1037</v>
      </c>
      <c r="E333" s="5" t="s">
        <v>1038</v>
      </c>
      <c r="F333" s="3" t="s">
        <v>1039</v>
      </c>
      <c r="G333" s="3" t="s">
        <v>156</v>
      </c>
      <c r="H333" s="2" t="str">
        <f>"2012"</f>
        <v>2012</v>
      </c>
      <c r="I333" t="s">
        <v>14</v>
      </c>
      <c r="J333" t="s">
        <v>15</v>
      </c>
    </row>
    <row r="334" spans="1:10">
      <c r="A334" s="2" t="str">
        <f>"331"</f>
        <v>331</v>
      </c>
      <c r="B334" s="2" t="s">
        <v>9</v>
      </c>
      <c r="C334" s="2" t="str">
        <f>"1 (1)"</f>
        <v>1 (1)</v>
      </c>
      <c r="D334" s="2" t="s">
        <v>1040</v>
      </c>
      <c r="E334" s="5" t="s">
        <v>1041</v>
      </c>
      <c r="F334" s="3" t="s">
        <v>1042</v>
      </c>
      <c r="G334" s="3" t="s">
        <v>156</v>
      </c>
      <c r="H334" s="2" t="str">
        <f>"2012"</f>
        <v>2012</v>
      </c>
      <c r="I334" t="s">
        <v>14</v>
      </c>
      <c r="J334" t="s">
        <v>15</v>
      </c>
    </row>
    <row r="335" spans="1:10">
      <c r="A335" s="2" t="str">
        <f>"332"</f>
        <v>332</v>
      </c>
      <c r="B335" s="2" t="s">
        <v>9</v>
      </c>
      <c r="C335" s="2" t="str">
        <f>"1 (1)"</f>
        <v>1 (1)</v>
      </c>
      <c r="D335" s="2" t="s">
        <v>1043</v>
      </c>
      <c r="E335" s="5" t="s">
        <v>1044</v>
      </c>
      <c r="F335" s="3" t="s">
        <v>1045</v>
      </c>
      <c r="G335" s="3" t="s">
        <v>156</v>
      </c>
      <c r="H335" s="2" t="str">
        <f>"2012"</f>
        <v>2012</v>
      </c>
      <c r="I335" t="s">
        <v>14</v>
      </c>
      <c r="J335" t="s">
        <v>15</v>
      </c>
    </row>
    <row r="336" spans="1:10">
      <c r="A336" s="2" t="str">
        <f>"333"</f>
        <v>333</v>
      </c>
      <c r="B336" s="2" t="s">
        <v>9</v>
      </c>
      <c r="C336" s="2" t="str">
        <f>"1 (1)"</f>
        <v>1 (1)</v>
      </c>
      <c r="D336" s="2" t="s">
        <v>1046</v>
      </c>
      <c r="E336" s="5" t="s">
        <v>1047</v>
      </c>
      <c r="F336" s="3" t="s">
        <v>1048</v>
      </c>
      <c r="G336" s="3" t="s">
        <v>1049</v>
      </c>
      <c r="H336" s="2" t="str">
        <f>"2012"</f>
        <v>2012</v>
      </c>
      <c r="I336" t="s">
        <v>14</v>
      </c>
      <c r="J336" t="s">
        <v>15</v>
      </c>
    </row>
    <row r="337" spans="1:10">
      <c r="A337" s="2" t="str">
        <f>"334"</f>
        <v>334</v>
      </c>
      <c r="B337" s="2" t="s">
        <v>9</v>
      </c>
      <c r="C337" s="2" t="str">
        <f>"1 (1)"</f>
        <v>1 (1)</v>
      </c>
      <c r="D337" s="2" t="s">
        <v>1050</v>
      </c>
      <c r="E337" s="5" t="s">
        <v>1051</v>
      </c>
      <c r="F337" s="3" t="s">
        <v>1052</v>
      </c>
      <c r="G337" s="3" t="s">
        <v>1053</v>
      </c>
      <c r="H337" s="2" t="str">
        <f>"2012"</f>
        <v>2012</v>
      </c>
      <c r="I337" t="s">
        <v>14</v>
      </c>
      <c r="J337" t="s">
        <v>15</v>
      </c>
    </row>
    <row r="338" spans="1:10">
      <c r="A338" s="2" t="str">
        <f>"335"</f>
        <v>335</v>
      </c>
      <c r="B338" s="2" t="s">
        <v>9</v>
      </c>
      <c r="C338" s="2" t="str">
        <f>"1 (1)"</f>
        <v>1 (1)</v>
      </c>
      <c r="D338" s="2" t="s">
        <v>1054</v>
      </c>
      <c r="E338" s="5" t="s">
        <v>1055</v>
      </c>
      <c r="F338" s="3" t="s">
        <v>1056</v>
      </c>
      <c r="G338" s="3" t="s">
        <v>1057</v>
      </c>
      <c r="H338" s="2" t="str">
        <f>"2012"</f>
        <v>2012</v>
      </c>
      <c r="I338" t="s">
        <v>14</v>
      </c>
      <c r="J338" t="s">
        <v>15</v>
      </c>
    </row>
    <row r="339" spans="1:10">
      <c r="A339" s="2" t="str">
        <f>"336"</f>
        <v>336</v>
      </c>
      <c r="B339" s="2" t="s">
        <v>9</v>
      </c>
      <c r="C339" s="2" t="str">
        <f>"1 (1)"</f>
        <v>1 (1)</v>
      </c>
      <c r="D339" s="2" t="s">
        <v>1058</v>
      </c>
      <c r="E339" s="5" t="s">
        <v>1059</v>
      </c>
      <c r="F339" s="3" t="s">
        <v>1060</v>
      </c>
      <c r="G339" s="3" t="s">
        <v>1061</v>
      </c>
      <c r="H339" s="2" t="str">
        <f>"2012"</f>
        <v>2012</v>
      </c>
      <c r="I339" t="s">
        <v>14</v>
      </c>
      <c r="J339" t="s">
        <v>15</v>
      </c>
    </row>
    <row r="340" spans="1:10">
      <c r="A340" s="2" t="str">
        <f>"337"</f>
        <v>337</v>
      </c>
      <c r="B340" s="2" t="s">
        <v>9</v>
      </c>
      <c r="C340" s="2" t="str">
        <f>"1 (1)"</f>
        <v>1 (1)</v>
      </c>
      <c r="D340" s="2" t="s">
        <v>1062</v>
      </c>
      <c r="E340" s="5" t="s">
        <v>1063</v>
      </c>
      <c r="F340" s="3" t="s">
        <v>1064</v>
      </c>
      <c r="G340" s="3" t="s">
        <v>1065</v>
      </c>
      <c r="H340" s="2" t="str">
        <f>"2012"</f>
        <v>2012</v>
      </c>
      <c r="I340" t="s">
        <v>14</v>
      </c>
      <c r="J340" t="s">
        <v>15</v>
      </c>
    </row>
    <row r="341" spans="1:10">
      <c r="A341" s="2" t="str">
        <f>"338"</f>
        <v>338</v>
      </c>
      <c r="B341" s="2" t="s">
        <v>9</v>
      </c>
      <c r="C341" s="2" t="str">
        <f>"1 (1)"</f>
        <v>1 (1)</v>
      </c>
      <c r="D341" s="2" t="s">
        <v>1066</v>
      </c>
      <c r="E341" s="5" t="s">
        <v>1067</v>
      </c>
      <c r="F341" s="3" t="s">
        <v>1068</v>
      </c>
      <c r="G341" s="3" t="s">
        <v>257</v>
      </c>
      <c r="H341" s="2" t="str">
        <f>"2012"</f>
        <v>2012</v>
      </c>
      <c r="I341" t="s">
        <v>14</v>
      </c>
      <c r="J341" t="s">
        <v>15</v>
      </c>
    </row>
    <row r="342" spans="1:10">
      <c r="A342" s="2" t="str">
        <f>"339"</f>
        <v>339</v>
      </c>
      <c r="B342" s="2" t="s">
        <v>9</v>
      </c>
      <c r="C342" s="2" t="str">
        <f>"1 (1)"</f>
        <v>1 (1)</v>
      </c>
      <c r="D342" s="2" t="s">
        <v>1069</v>
      </c>
      <c r="E342" s="5" t="s">
        <v>1070</v>
      </c>
      <c r="F342" s="3" t="s">
        <v>1071</v>
      </c>
      <c r="G342" s="3" t="s">
        <v>257</v>
      </c>
      <c r="H342" s="2" t="str">
        <f>"2012"</f>
        <v>2012</v>
      </c>
      <c r="I342" t="s">
        <v>14</v>
      </c>
      <c r="J342" t="s">
        <v>15</v>
      </c>
    </row>
    <row r="343" spans="1:10">
      <c r="A343" s="2" t="str">
        <f>"340"</f>
        <v>340</v>
      </c>
      <c r="B343" s="2" t="s">
        <v>9</v>
      </c>
      <c r="C343" s="2" t="str">
        <f>"1 (1)"</f>
        <v>1 (1)</v>
      </c>
      <c r="D343" s="2" t="s">
        <v>1072</v>
      </c>
      <c r="E343" s="5" t="s">
        <v>1073</v>
      </c>
      <c r="F343" s="3" t="s">
        <v>1074</v>
      </c>
      <c r="G343" s="3" t="s">
        <v>257</v>
      </c>
      <c r="H343" s="2" t="str">
        <f>"2012"</f>
        <v>2012</v>
      </c>
      <c r="I343" t="s">
        <v>14</v>
      </c>
      <c r="J343" t="s">
        <v>15</v>
      </c>
    </row>
    <row r="344" spans="1:10">
      <c r="A344" s="2" t="str">
        <f>"341"</f>
        <v>341</v>
      </c>
      <c r="B344" s="2" t="s">
        <v>9</v>
      </c>
      <c r="C344" s="2" t="str">
        <f>"1 (1)"</f>
        <v>1 (1)</v>
      </c>
      <c r="D344" s="2" t="s">
        <v>1075</v>
      </c>
      <c r="E344" s="5" t="s">
        <v>1076</v>
      </c>
      <c r="F344" s="3" t="s">
        <v>1077</v>
      </c>
      <c r="G344" s="3" t="s">
        <v>257</v>
      </c>
      <c r="H344" s="2" t="str">
        <f>"2012"</f>
        <v>2012</v>
      </c>
      <c r="I344" t="s">
        <v>14</v>
      </c>
      <c r="J344" t="s">
        <v>15</v>
      </c>
    </row>
    <row r="345" spans="1:10">
      <c r="A345" s="2" t="str">
        <f>"342"</f>
        <v>342</v>
      </c>
      <c r="B345" s="2" t="s">
        <v>9</v>
      </c>
      <c r="C345" s="2" t="str">
        <f>"1 (1)"</f>
        <v>1 (1)</v>
      </c>
      <c r="D345" s="2" t="s">
        <v>1078</v>
      </c>
      <c r="E345" s="5" t="s">
        <v>1079</v>
      </c>
      <c r="F345" s="3" t="s">
        <v>1080</v>
      </c>
      <c r="G345" s="3" t="s">
        <v>639</v>
      </c>
      <c r="H345" s="2" t="str">
        <f>"2012"</f>
        <v>2012</v>
      </c>
      <c r="I345" t="s">
        <v>14</v>
      </c>
      <c r="J345" t="s">
        <v>15</v>
      </c>
    </row>
    <row r="346" spans="1:10">
      <c r="A346" s="2" t="str">
        <f>"343"</f>
        <v>343</v>
      </c>
      <c r="B346" s="2" t="s">
        <v>9</v>
      </c>
      <c r="C346" s="2" t="str">
        <f>"1 (1)"</f>
        <v>1 (1)</v>
      </c>
      <c r="D346" s="2" t="s">
        <v>1081</v>
      </c>
      <c r="E346" s="5" t="s">
        <v>1082</v>
      </c>
      <c r="F346" s="3" t="s">
        <v>1083</v>
      </c>
      <c r="G346" s="3" t="s">
        <v>13</v>
      </c>
      <c r="H346" s="2" t="str">
        <f>"2012"</f>
        <v>2012</v>
      </c>
      <c r="I346" t="s">
        <v>14</v>
      </c>
      <c r="J346" t="s">
        <v>15</v>
      </c>
    </row>
    <row r="347" spans="1:10">
      <c r="A347" s="2" t="str">
        <f>"344"</f>
        <v>344</v>
      </c>
      <c r="B347" s="2" t="s">
        <v>9</v>
      </c>
      <c r="C347" s="2" t="str">
        <f>"1 (1)"</f>
        <v>1 (1)</v>
      </c>
      <c r="D347" s="2" t="s">
        <v>1084</v>
      </c>
      <c r="E347" s="5" t="s">
        <v>1085</v>
      </c>
      <c r="F347" s="3" t="s">
        <v>1086</v>
      </c>
      <c r="G347" s="3" t="s">
        <v>373</v>
      </c>
      <c r="H347" s="2" t="str">
        <f>"2012"</f>
        <v>2012</v>
      </c>
      <c r="I347" t="s">
        <v>14</v>
      </c>
      <c r="J347" t="s">
        <v>15</v>
      </c>
    </row>
    <row r="348" spans="1:10">
      <c r="A348" s="2" t="str">
        <f>"345"</f>
        <v>345</v>
      </c>
      <c r="B348" s="2" t="s">
        <v>9</v>
      </c>
      <c r="C348" s="2" t="str">
        <f>"1 (1)"</f>
        <v>1 (1)</v>
      </c>
      <c r="D348" s="2" t="s">
        <v>1087</v>
      </c>
      <c r="E348" s="5" t="s">
        <v>1088</v>
      </c>
      <c r="F348" s="3" t="s">
        <v>967</v>
      </c>
      <c r="G348" s="3" t="s">
        <v>968</v>
      </c>
      <c r="H348" s="2" t="str">
        <f>"2012"</f>
        <v>2012</v>
      </c>
      <c r="I348" t="s">
        <v>14</v>
      </c>
      <c r="J348" t="s">
        <v>15</v>
      </c>
    </row>
    <row r="349" spans="1:10">
      <c r="A349" s="2" t="str">
        <f>"346"</f>
        <v>346</v>
      </c>
      <c r="B349" s="2" t="s">
        <v>9</v>
      </c>
      <c r="C349" s="2" t="str">
        <f>"1 (1)"</f>
        <v>1 (1)</v>
      </c>
      <c r="D349" s="2" t="s">
        <v>1089</v>
      </c>
      <c r="E349" s="5" t="s">
        <v>1090</v>
      </c>
      <c r="F349" s="3" t="s">
        <v>1091</v>
      </c>
      <c r="G349" s="3" t="s">
        <v>1092</v>
      </c>
      <c r="H349" s="2" t="str">
        <f>"2012"</f>
        <v>2012</v>
      </c>
      <c r="I349" t="s">
        <v>14</v>
      </c>
      <c r="J349" t="s">
        <v>15</v>
      </c>
    </row>
    <row r="350" spans="1:10">
      <c r="A350" s="2" t="str">
        <f>"347"</f>
        <v>347</v>
      </c>
      <c r="B350" s="2" t="s">
        <v>9</v>
      </c>
      <c r="C350" s="2" t="str">
        <f>"1 (1)"</f>
        <v>1 (1)</v>
      </c>
      <c r="D350" s="2" t="s">
        <v>1093</v>
      </c>
      <c r="E350" s="5" t="s">
        <v>1094</v>
      </c>
      <c r="F350" s="3" t="s">
        <v>1095</v>
      </c>
      <c r="G350" s="3" t="s">
        <v>1096</v>
      </c>
      <c r="H350" s="2" t="str">
        <f>"2012"</f>
        <v>2012</v>
      </c>
      <c r="I350" t="s">
        <v>14</v>
      </c>
      <c r="J350" t="s">
        <v>15</v>
      </c>
    </row>
    <row r="351" spans="1:10">
      <c r="A351" s="2" t="str">
        <f>"348"</f>
        <v>348</v>
      </c>
      <c r="B351" s="2" t="s">
        <v>9</v>
      </c>
      <c r="C351" s="2" t="str">
        <f>"1 (1)"</f>
        <v>1 (1)</v>
      </c>
      <c r="D351" s="2" t="s">
        <v>1097</v>
      </c>
      <c r="E351" s="5" t="s">
        <v>1098</v>
      </c>
      <c r="F351" s="3" t="s">
        <v>1099</v>
      </c>
      <c r="G351" s="3" t="s">
        <v>1100</v>
      </c>
      <c r="H351" s="2" t="str">
        <f>"2012"</f>
        <v>2012</v>
      </c>
      <c r="I351" t="s">
        <v>14</v>
      </c>
      <c r="J351" t="s">
        <v>15</v>
      </c>
    </row>
    <row r="352" spans="1:10">
      <c r="A352" s="2" t="str">
        <f>"349"</f>
        <v>349</v>
      </c>
      <c r="B352" s="2" t="s">
        <v>9</v>
      </c>
      <c r="C352" s="2" t="str">
        <f>"1 (1)"</f>
        <v>1 (1)</v>
      </c>
      <c r="D352" s="2" t="s">
        <v>1101</v>
      </c>
      <c r="E352" s="5" t="s">
        <v>1102</v>
      </c>
      <c r="F352" s="3" t="s">
        <v>1103</v>
      </c>
      <c r="G352" s="3" t="s">
        <v>775</v>
      </c>
      <c r="H352" s="2" t="str">
        <f>"2012"</f>
        <v>2012</v>
      </c>
      <c r="I352" t="s">
        <v>14</v>
      </c>
      <c r="J352" t="s">
        <v>15</v>
      </c>
    </row>
    <row r="353" spans="1:10">
      <c r="A353" s="2" t="str">
        <f>"350"</f>
        <v>350</v>
      </c>
      <c r="B353" s="2" t="s">
        <v>9</v>
      </c>
      <c r="C353" s="2" t="str">
        <f>"1 (1)"</f>
        <v>1 (1)</v>
      </c>
      <c r="D353" s="2" t="s">
        <v>1104</v>
      </c>
      <c r="E353" s="5" t="s">
        <v>1105</v>
      </c>
      <c r="F353" s="3" t="s">
        <v>1106</v>
      </c>
      <c r="G353" s="3" t="s">
        <v>1107</v>
      </c>
      <c r="H353" s="2" t="str">
        <f>"2012"</f>
        <v>2012</v>
      </c>
      <c r="I353" t="s">
        <v>14</v>
      </c>
      <c r="J353" t="s">
        <v>15</v>
      </c>
    </row>
    <row r="354" spans="1:10">
      <c r="A354" s="2" t="str">
        <f>"351"</f>
        <v>351</v>
      </c>
      <c r="B354" s="2" t="s">
        <v>9</v>
      </c>
      <c r="C354" s="2" t="str">
        <f>"1 (1)"</f>
        <v>1 (1)</v>
      </c>
      <c r="D354" s="2" t="s">
        <v>1108</v>
      </c>
      <c r="E354" s="5" t="s">
        <v>1109</v>
      </c>
      <c r="F354" s="3" t="s">
        <v>1110</v>
      </c>
      <c r="G354" s="3" t="s">
        <v>1111</v>
      </c>
      <c r="H354" s="2" t="str">
        <f>"2012"</f>
        <v>2012</v>
      </c>
      <c r="I354" t="s">
        <v>14</v>
      </c>
      <c r="J354" t="s">
        <v>15</v>
      </c>
    </row>
    <row r="355" spans="1:10">
      <c r="A355" s="2" t="str">
        <f>"352"</f>
        <v>352</v>
      </c>
      <c r="B355" s="2" t="s">
        <v>9</v>
      </c>
      <c r="C355" s="2" t="str">
        <f>"1 (1)"</f>
        <v>1 (1)</v>
      </c>
      <c r="D355" s="2" t="s">
        <v>1112</v>
      </c>
      <c r="E355" s="5" t="s">
        <v>1113</v>
      </c>
      <c r="F355" s="3" t="s">
        <v>1114</v>
      </c>
      <c r="G355" s="3" t="s">
        <v>1115</v>
      </c>
      <c r="H355" s="2" t="str">
        <f>"2012"</f>
        <v>2012</v>
      </c>
      <c r="I355" t="s">
        <v>14</v>
      </c>
      <c r="J355" t="s">
        <v>15</v>
      </c>
    </row>
    <row r="356" spans="1:10">
      <c r="A356" s="2" t="str">
        <f>"353"</f>
        <v>353</v>
      </c>
      <c r="B356" s="2" t="s">
        <v>9</v>
      </c>
      <c r="C356" s="2" t="str">
        <f>"1 (1)"</f>
        <v>1 (1)</v>
      </c>
      <c r="D356" s="2" t="s">
        <v>1116</v>
      </c>
      <c r="E356" s="5" t="s">
        <v>1117</v>
      </c>
      <c r="F356" s="3" t="s">
        <v>1118</v>
      </c>
      <c r="G356" s="3" t="s">
        <v>1024</v>
      </c>
      <c r="H356" s="2" t="str">
        <f>"2012"</f>
        <v>2012</v>
      </c>
      <c r="I356" t="s">
        <v>14</v>
      </c>
      <c r="J356" t="s">
        <v>15</v>
      </c>
    </row>
    <row r="357" spans="1:10">
      <c r="A357" s="2" t="str">
        <f>"354"</f>
        <v>354</v>
      </c>
      <c r="B357" s="2" t="s">
        <v>9</v>
      </c>
      <c r="C357" s="2" t="str">
        <f>"1 (1)"</f>
        <v>1 (1)</v>
      </c>
      <c r="D357" s="2" t="s">
        <v>1119</v>
      </c>
      <c r="E357" s="5" t="s">
        <v>1120</v>
      </c>
      <c r="F357" s="3" t="s">
        <v>1121</v>
      </c>
      <c r="G357" s="3" t="s">
        <v>1122</v>
      </c>
      <c r="H357" s="2" t="str">
        <f>"2012"</f>
        <v>2012</v>
      </c>
      <c r="I357" t="s">
        <v>14</v>
      </c>
      <c r="J357" t="s">
        <v>15</v>
      </c>
    </row>
    <row r="358" spans="1:10">
      <c r="A358" s="2" t="str">
        <f>"355"</f>
        <v>355</v>
      </c>
      <c r="B358" s="2" t="s">
        <v>9</v>
      </c>
      <c r="C358" s="2" t="str">
        <f>"1 (1)"</f>
        <v>1 (1)</v>
      </c>
      <c r="D358" s="2" t="s">
        <v>1123</v>
      </c>
      <c r="E358" s="5" t="s">
        <v>1124</v>
      </c>
      <c r="F358" s="3" t="s">
        <v>1125</v>
      </c>
      <c r="G358" s="3" t="s">
        <v>564</v>
      </c>
      <c r="H358" s="2" t="str">
        <f>"2012"</f>
        <v>2012</v>
      </c>
      <c r="I358" t="s">
        <v>14</v>
      </c>
      <c r="J358" t="s">
        <v>15</v>
      </c>
    </row>
    <row r="359" spans="1:10">
      <c r="A359" s="2" t="str">
        <f>"356"</f>
        <v>356</v>
      </c>
      <c r="B359" s="2" t="s">
        <v>9</v>
      </c>
      <c r="C359" s="2" t="str">
        <f>"1 (1)"</f>
        <v>1 (1)</v>
      </c>
      <c r="D359" s="2" t="s">
        <v>1126</v>
      </c>
      <c r="E359" s="5" t="s">
        <v>1127</v>
      </c>
      <c r="F359" s="3" t="s">
        <v>1128</v>
      </c>
      <c r="G359" s="3" t="s">
        <v>1129</v>
      </c>
      <c r="H359" s="2" t="str">
        <f>"2012"</f>
        <v>2012</v>
      </c>
      <c r="I359" t="s">
        <v>14</v>
      </c>
      <c r="J359" t="s">
        <v>15</v>
      </c>
    </row>
    <row r="360" spans="1:10">
      <c r="A360" s="2" t="str">
        <f>"357"</f>
        <v>357</v>
      </c>
      <c r="B360" s="2" t="s">
        <v>9</v>
      </c>
      <c r="C360" s="2" t="str">
        <f>"1 (1)"</f>
        <v>1 (1)</v>
      </c>
      <c r="D360" s="2" t="s">
        <v>1130</v>
      </c>
      <c r="E360" s="5" t="s">
        <v>1131</v>
      </c>
      <c r="F360" s="3" t="s">
        <v>1132</v>
      </c>
      <c r="G360" s="3" t="s">
        <v>1133</v>
      </c>
      <c r="H360" s="2" t="str">
        <f>"2012"</f>
        <v>2012</v>
      </c>
      <c r="I360" t="s">
        <v>14</v>
      </c>
      <c r="J360" t="s">
        <v>15</v>
      </c>
    </row>
    <row r="361" spans="1:10">
      <c r="A361" s="2" t="str">
        <f>"358"</f>
        <v>358</v>
      </c>
      <c r="B361" s="2" t="s">
        <v>9</v>
      </c>
      <c r="C361" s="2" t="str">
        <f>"1 (1)"</f>
        <v>1 (1)</v>
      </c>
      <c r="D361" s="2" t="s">
        <v>1134</v>
      </c>
      <c r="E361" s="5" t="s">
        <v>1135</v>
      </c>
      <c r="F361" s="3" t="s">
        <v>1136</v>
      </c>
      <c r="G361" s="3" t="s">
        <v>972</v>
      </c>
      <c r="H361" s="2" t="str">
        <f>"2012"</f>
        <v>2012</v>
      </c>
      <c r="I361" t="s">
        <v>14</v>
      </c>
      <c r="J361" t="s">
        <v>15</v>
      </c>
    </row>
    <row r="362" spans="1:10">
      <c r="A362" s="2" t="str">
        <f>"359"</f>
        <v>359</v>
      </c>
      <c r="B362" s="2" t="s">
        <v>9</v>
      </c>
      <c r="C362" s="2" t="str">
        <f>"1 (1)"</f>
        <v>1 (1)</v>
      </c>
      <c r="D362" s="2" t="s">
        <v>1137</v>
      </c>
      <c r="E362" s="5" t="s">
        <v>1138</v>
      </c>
      <c r="F362" s="3" t="s">
        <v>1139</v>
      </c>
      <c r="G362" s="3" t="s">
        <v>1024</v>
      </c>
      <c r="H362" s="2" t="str">
        <f>"2012"</f>
        <v>2012</v>
      </c>
      <c r="I362" t="s">
        <v>14</v>
      </c>
      <c r="J362" t="s">
        <v>15</v>
      </c>
    </row>
    <row r="363" spans="1:10">
      <c r="A363" s="2" t="str">
        <f>"360"</f>
        <v>360</v>
      </c>
      <c r="B363" s="2" t="s">
        <v>9</v>
      </c>
      <c r="C363" s="2" t="str">
        <f>"1 (1)"</f>
        <v>1 (1)</v>
      </c>
      <c r="D363" s="2" t="s">
        <v>1140</v>
      </c>
      <c r="E363" s="5" t="s">
        <v>1141</v>
      </c>
      <c r="F363" s="3" t="s">
        <v>1142</v>
      </c>
      <c r="G363" s="3" t="s">
        <v>1143</v>
      </c>
      <c r="H363" s="2" t="str">
        <f>"2012"</f>
        <v>2012</v>
      </c>
      <c r="I363" t="s">
        <v>14</v>
      </c>
      <c r="J363" t="s">
        <v>15</v>
      </c>
    </row>
    <row r="364" spans="1:10">
      <c r="A364" s="2" t="str">
        <f>"361"</f>
        <v>361</v>
      </c>
      <c r="B364" s="2" t="s">
        <v>9</v>
      </c>
      <c r="C364" s="2" t="str">
        <f>"1 (1)"</f>
        <v>1 (1)</v>
      </c>
      <c r="D364" s="2" t="s">
        <v>1144</v>
      </c>
      <c r="E364" s="5" t="s">
        <v>1145</v>
      </c>
      <c r="F364" s="3" t="s">
        <v>1146</v>
      </c>
      <c r="G364" s="3" t="s">
        <v>130</v>
      </c>
      <c r="H364" s="2" t="str">
        <f>"2012"</f>
        <v>2012</v>
      </c>
      <c r="I364" t="s">
        <v>14</v>
      </c>
      <c r="J364" t="s">
        <v>15</v>
      </c>
    </row>
    <row r="365" spans="1:10">
      <c r="A365" s="2" t="str">
        <f>"362"</f>
        <v>362</v>
      </c>
      <c r="B365" s="2" t="s">
        <v>9</v>
      </c>
      <c r="C365" s="2" t="str">
        <f>"1 (1)"</f>
        <v>1 (1)</v>
      </c>
      <c r="D365" s="2" t="s">
        <v>1147</v>
      </c>
      <c r="E365" s="5" t="s">
        <v>1148</v>
      </c>
      <c r="F365" s="3" t="s">
        <v>1146</v>
      </c>
      <c r="G365" s="3" t="s">
        <v>130</v>
      </c>
      <c r="H365" s="2" t="str">
        <f>"2012"</f>
        <v>2012</v>
      </c>
      <c r="I365" t="s">
        <v>14</v>
      </c>
      <c r="J365" t="s">
        <v>15</v>
      </c>
    </row>
    <row r="366" spans="1:10">
      <c r="A366" s="2" t="str">
        <f>"363"</f>
        <v>363</v>
      </c>
      <c r="B366" s="2" t="s">
        <v>9</v>
      </c>
      <c r="C366" s="2" t="str">
        <f>"1 (1)"</f>
        <v>1 (1)</v>
      </c>
      <c r="D366" s="2" t="s">
        <v>1149</v>
      </c>
      <c r="E366" s="5" t="s">
        <v>1150</v>
      </c>
      <c r="F366" s="3" t="s">
        <v>1151</v>
      </c>
      <c r="G366" s="3" t="s">
        <v>1152</v>
      </c>
      <c r="H366" s="2" t="str">
        <f>"2005"</f>
        <v>2005</v>
      </c>
      <c r="I366" t="s">
        <v>14</v>
      </c>
      <c r="J366" t="s">
        <v>15</v>
      </c>
    </row>
    <row r="367" spans="1:10">
      <c r="A367" s="2" t="str">
        <f>"364"</f>
        <v>364</v>
      </c>
      <c r="B367" s="2" t="s">
        <v>9</v>
      </c>
      <c r="C367" s="2" t="str">
        <f>"1 (1)"</f>
        <v>1 (1)</v>
      </c>
      <c r="D367" s="2" t="s">
        <v>1153</v>
      </c>
      <c r="E367" s="5" t="s">
        <v>1154</v>
      </c>
      <c r="F367" s="3" t="s">
        <v>1155</v>
      </c>
      <c r="G367" s="3" t="s">
        <v>1152</v>
      </c>
      <c r="H367" s="2" t="str">
        <f>"2005"</f>
        <v>2005</v>
      </c>
      <c r="I367" t="s">
        <v>14</v>
      </c>
      <c r="J367" t="s">
        <v>15</v>
      </c>
    </row>
    <row r="368" spans="1:10">
      <c r="A368" s="2" t="str">
        <f>"365"</f>
        <v>365</v>
      </c>
      <c r="B368" s="2" t="s">
        <v>9</v>
      </c>
      <c r="C368" s="2" t="str">
        <f>"1 (1)"</f>
        <v>1 (1)</v>
      </c>
      <c r="D368" s="2" t="s">
        <v>1156</v>
      </c>
      <c r="E368" s="5" t="s">
        <v>1157</v>
      </c>
      <c r="F368" s="3" t="s">
        <v>1158</v>
      </c>
      <c r="G368" s="3" t="s">
        <v>1152</v>
      </c>
      <c r="H368" s="2" t="str">
        <f>"2005"</f>
        <v>2005</v>
      </c>
      <c r="I368" t="s">
        <v>14</v>
      </c>
      <c r="J368" t="s">
        <v>15</v>
      </c>
    </row>
    <row r="369" spans="1:10">
      <c r="A369" s="2" t="str">
        <f>"366"</f>
        <v>366</v>
      </c>
      <c r="B369" s="2" t="s">
        <v>9</v>
      </c>
      <c r="C369" s="2" t="str">
        <f>"1 (1)"</f>
        <v>1 (1)</v>
      </c>
      <c r="D369" s="2" t="s">
        <v>1159</v>
      </c>
      <c r="E369" s="5" t="s">
        <v>1160</v>
      </c>
      <c r="F369" s="3" t="s">
        <v>1151</v>
      </c>
      <c r="G369" s="3" t="s">
        <v>1152</v>
      </c>
      <c r="H369" s="2" t="str">
        <f>"2005"</f>
        <v>2005</v>
      </c>
      <c r="I369" t="s">
        <v>14</v>
      </c>
      <c r="J369" t="s">
        <v>15</v>
      </c>
    </row>
    <row r="370" spans="1:10">
      <c r="A370" s="2" t="str">
        <f>"367"</f>
        <v>367</v>
      </c>
      <c r="B370" s="2" t="s">
        <v>9</v>
      </c>
      <c r="C370" s="2" t="str">
        <f>"1 (1)"</f>
        <v>1 (1)</v>
      </c>
      <c r="D370" s="2" t="s">
        <v>1161</v>
      </c>
      <c r="E370" s="5" t="s">
        <v>1162</v>
      </c>
      <c r="F370" s="3" t="s">
        <v>1163</v>
      </c>
      <c r="G370" s="3" t="s">
        <v>1152</v>
      </c>
      <c r="H370" s="2" t="str">
        <f>"2005"</f>
        <v>2005</v>
      </c>
      <c r="I370" t="s">
        <v>14</v>
      </c>
      <c r="J370" t="s">
        <v>15</v>
      </c>
    </row>
    <row r="371" spans="1:10">
      <c r="A371" s="2" t="str">
        <f>"368"</f>
        <v>368</v>
      </c>
      <c r="B371" s="2" t="s">
        <v>9</v>
      </c>
      <c r="C371" s="2" t="str">
        <f>"1 (1)"</f>
        <v>1 (1)</v>
      </c>
      <c r="D371" s="2" t="s">
        <v>1164</v>
      </c>
      <c r="E371" s="5" t="s">
        <v>1165</v>
      </c>
      <c r="F371" s="3" t="s">
        <v>1163</v>
      </c>
      <c r="G371" s="3" t="s">
        <v>1152</v>
      </c>
      <c r="H371" s="2" t="str">
        <f>"2005"</f>
        <v>2005</v>
      </c>
      <c r="I371" t="s">
        <v>14</v>
      </c>
      <c r="J371" t="s">
        <v>15</v>
      </c>
    </row>
    <row r="372" spans="1:10">
      <c r="A372" s="2" t="str">
        <f>"369"</f>
        <v>369</v>
      </c>
      <c r="B372" s="2" t="s">
        <v>9</v>
      </c>
      <c r="C372" s="2" t="str">
        <f>"1 (1)"</f>
        <v>1 (1)</v>
      </c>
      <c r="D372" s="2" t="s">
        <v>1166</v>
      </c>
      <c r="E372" s="5" t="s">
        <v>1167</v>
      </c>
      <c r="F372" s="3" t="s">
        <v>1163</v>
      </c>
      <c r="G372" s="3" t="s">
        <v>1152</v>
      </c>
      <c r="H372" s="2" t="str">
        <f>"2005"</f>
        <v>2005</v>
      </c>
      <c r="I372" t="s">
        <v>14</v>
      </c>
      <c r="J372" t="s">
        <v>15</v>
      </c>
    </row>
    <row r="373" spans="1:10">
      <c r="A373" s="2" t="str">
        <f>"370"</f>
        <v>370</v>
      </c>
      <c r="B373" s="2" t="s">
        <v>9</v>
      </c>
      <c r="C373" s="2" t="str">
        <f>"1 (1)"</f>
        <v>1 (1)</v>
      </c>
      <c r="D373" s="2" t="s">
        <v>1168</v>
      </c>
      <c r="E373" s="5" t="s">
        <v>1169</v>
      </c>
      <c r="F373" s="3" t="s">
        <v>1163</v>
      </c>
      <c r="G373" s="3" t="s">
        <v>1152</v>
      </c>
      <c r="H373" s="2" t="str">
        <f>"2005"</f>
        <v>2005</v>
      </c>
      <c r="I373" t="s">
        <v>14</v>
      </c>
      <c r="J373" t="s">
        <v>15</v>
      </c>
    </row>
    <row r="374" spans="1:10">
      <c r="A374" s="2" t="str">
        <f>"371"</f>
        <v>371</v>
      </c>
      <c r="B374" s="2" t="s">
        <v>9</v>
      </c>
      <c r="C374" s="2" t="str">
        <f>"1 (1)"</f>
        <v>1 (1)</v>
      </c>
      <c r="D374" s="2" t="s">
        <v>1170</v>
      </c>
      <c r="E374" s="5" t="s">
        <v>1171</v>
      </c>
      <c r="F374" s="3" t="s">
        <v>1163</v>
      </c>
      <c r="G374" s="3" t="s">
        <v>1152</v>
      </c>
      <c r="H374" s="2" t="str">
        <f>"2005"</f>
        <v>2005</v>
      </c>
      <c r="I374" t="s">
        <v>14</v>
      </c>
      <c r="J374" t="s">
        <v>15</v>
      </c>
    </row>
    <row r="375" spans="1:10">
      <c r="A375" s="2" t="str">
        <f>"372"</f>
        <v>372</v>
      </c>
      <c r="B375" s="2" t="s">
        <v>9</v>
      </c>
      <c r="C375" s="2" t="str">
        <f>"1 (1)"</f>
        <v>1 (1)</v>
      </c>
      <c r="D375" s="2" t="s">
        <v>1172</v>
      </c>
      <c r="E375" s="5" t="s">
        <v>1173</v>
      </c>
      <c r="F375" s="3" t="s">
        <v>1163</v>
      </c>
      <c r="G375" s="3" t="s">
        <v>1152</v>
      </c>
      <c r="H375" s="2" t="str">
        <f>"2005"</f>
        <v>2005</v>
      </c>
      <c r="I375" t="s">
        <v>14</v>
      </c>
      <c r="J375" t="s">
        <v>15</v>
      </c>
    </row>
    <row r="376" spans="1:10">
      <c r="A376" s="2" t="str">
        <f>"373"</f>
        <v>373</v>
      </c>
      <c r="B376" s="2" t="s">
        <v>9</v>
      </c>
      <c r="C376" s="2" t="str">
        <f>"1 (1)"</f>
        <v>1 (1)</v>
      </c>
      <c r="D376" s="2" t="s">
        <v>1174</v>
      </c>
      <c r="E376" s="5" t="s">
        <v>1175</v>
      </c>
      <c r="F376" s="3" t="s">
        <v>1163</v>
      </c>
      <c r="G376" s="3" t="s">
        <v>1152</v>
      </c>
      <c r="H376" s="2" t="str">
        <f>"2005"</f>
        <v>2005</v>
      </c>
      <c r="I376" t="s">
        <v>14</v>
      </c>
      <c r="J376" t="s">
        <v>15</v>
      </c>
    </row>
    <row r="377" spans="1:10">
      <c r="A377" s="2" t="str">
        <f>"374"</f>
        <v>374</v>
      </c>
      <c r="B377" s="2" t="s">
        <v>9</v>
      </c>
      <c r="C377" s="2" t="str">
        <f>"1 (1)"</f>
        <v>1 (1)</v>
      </c>
      <c r="D377" s="2" t="s">
        <v>1176</v>
      </c>
      <c r="E377" s="5" t="s">
        <v>1177</v>
      </c>
      <c r="F377" s="3" t="s">
        <v>1178</v>
      </c>
      <c r="G377" s="3" t="s">
        <v>1152</v>
      </c>
      <c r="H377" s="2" t="str">
        <f>"2005"</f>
        <v>2005</v>
      </c>
      <c r="I377" t="s">
        <v>14</v>
      </c>
      <c r="J377" t="s">
        <v>15</v>
      </c>
    </row>
    <row r="378" spans="1:10">
      <c r="A378" s="2" t="str">
        <f>"375"</f>
        <v>375</v>
      </c>
      <c r="B378" s="2" t="s">
        <v>9</v>
      </c>
      <c r="C378" s="2" t="str">
        <f>"1 (1)"</f>
        <v>1 (1)</v>
      </c>
      <c r="D378" s="2" t="s">
        <v>1179</v>
      </c>
      <c r="E378" s="5" t="s">
        <v>1180</v>
      </c>
      <c r="F378" s="3" t="s">
        <v>1163</v>
      </c>
      <c r="G378" s="3" t="s">
        <v>1152</v>
      </c>
      <c r="H378" s="2" t="str">
        <f>"2005"</f>
        <v>2005</v>
      </c>
      <c r="I378" t="s">
        <v>14</v>
      </c>
      <c r="J378" t="s">
        <v>15</v>
      </c>
    </row>
    <row r="379" spans="1:10">
      <c r="A379" s="2" t="str">
        <f>"376"</f>
        <v>376</v>
      </c>
      <c r="B379" s="2" t="s">
        <v>9</v>
      </c>
      <c r="C379" s="2" t="str">
        <f>"1 (1)"</f>
        <v>1 (1)</v>
      </c>
      <c r="D379" s="2" t="s">
        <v>1181</v>
      </c>
      <c r="E379" s="5" t="s">
        <v>1182</v>
      </c>
      <c r="F379" s="3" t="s">
        <v>1163</v>
      </c>
      <c r="G379" s="3" t="s">
        <v>1152</v>
      </c>
      <c r="H379" s="2" t="str">
        <f>"2005"</f>
        <v>2005</v>
      </c>
      <c r="I379" t="s">
        <v>14</v>
      </c>
      <c r="J379" t="s">
        <v>15</v>
      </c>
    </row>
    <row r="380" spans="1:10">
      <c r="A380" s="2" t="str">
        <f>"377"</f>
        <v>377</v>
      </c>
      <c r="B380" s="2" t="s">
        <v>9</v>
      </c>
      <c r="C380" s="2" t="str">
        <f>"1 (1)"</f>
        <v>1 (1)</v>
      </c>
      <c r="D380" s="2" t="s">
        <v>1183</v>
      </c>
      <c r="E380" s="5" t="s">
        <v>1184</v>
      </c>
      <c r="F380" s="3" t="s">
        <v>1163</v>
      </c>
      <c r="G380" s="3" t="s">
        <v>1152</v>
      </c>
      <c r="H380" s="2" t="str">
        <f>"2005"</f>
        <v>2005</v>
      </c>
      <c r="I380" t="s">
        <v>14</v>
      </c>
      <c r="J380" t="s">
        <v>15</v>
      </c>
    </row>
    <row r="381" spans="1:10">
      <c r="A381" s="2" t="str">
        <f>"378"</f>
        <v>378</v>
      </c>
      <c r="B381" s="2" t="s">
        <v>9</v>
      </c>
      <c r="C381" s="2" t="str">
        <f>"1 (1)"</f>
        <v>1 (1)</v>
      </c>
      <c r="D381" s="2" t="s">
        <v>1185</v>
      </c>
      <c r="E381" s="5" t="s">
        <v>1186</v>
      </c>
      <c r="F381" s="3" t="s">
        <v>1163</v>
      </c>
      <c r="G381" s="3" t="s">
        <v>1152</v>
      </c>
      <c r="H381" s="2" t="str">
        <f>"2005"</f>
        <v>2005</v>
      </c>
      <c r="I381" t="s">
        <v>14</v>
      </c>
      <c r="J381" t="s">
        <v>15</v>
      </c>
    </row>
    <row r="382" spans="1:10">
      <c r="A382" s="2" t="str">
        <f>"379"</f>
        <v>379</v>
      </c>
      <c r="B382" s="2" t="s">
        <v>9</v>
      </c>
      <c r="C382" s="2" t="str">
        <f>"1 (1)"</f>
        <v>1 (1)</v>
      </c>
      <c r="D382" s="2" t="s">
        <v>1187</v>
      </c>
      <c r="E382" s="5" t="s">
        <v>1188</v>
      </c>
      <c r="F382" s="3" t="s">
        <v>1163</v>
      </c>
      <c r="G382" s="3" t="s">
        <v>1152</v>
      </c>
      <c r="H382" s="2" t="str">
        <f>"2005"</f>
        <v>2005</v>
      </c>
      <c r="I382" t="s">
        <v>14</v>
      </c>
      <c r="J382" t="s">
        <v>15</v>
      </c>
    </row>
    <row r="383" spans="1:10">
      <c r="A383" s="2" t="str">
        <f>"380"</f>
        <v>380</v>
      </c>
      <c r="B383" s="2" t="s">
        <v>9</v>
      </c>
      <c r="C383" s="2" t="str">
        <f>"1 (1)"</f>
        <v>1 (1)</v>
      </c>
      <c r="D383" s="2" t="s">
        <v>1189</v>
      </c>
      <c r="E383" s="5" t="s">
        <v>1190</v>
      </c>
      <c r="F383" s="3" t="s">
        <v>1163</v>
      </c>
      <c r="G383" s="3" t="s">
        <v>1152</v>
      </c>
      <c r="H383" s="2" t="str">
        <f>"2005"</f>
        <v>2005</v>
      </c>
      <c r="I383" t="s">
        <v>14</v>
      </c>
      <c r="J383" t="s">
        <v>15</v>
      </c>
    </row>
    <row r="384" spans="1:10">
      <c r="A384" s="2" t="str">
        <f>"381"</f>
        <v>381</v>
      </c>
      <c r="B384" s="2" t="s">
        <v>9</v>
      </c>
      <c r="C384" s="2" t="str">
        <f>"1 (1)"</f>
        <v>1 (1)</v>
      </c>
      <c r="D384" s="2" t="s">
        <v>1191</v>
      </c>
      <c r="E384" s="5" t="s">
        <v>1192</v>
      </c>
      <c r="F384" s="3" t="s">
        <v>1163</v>
      </c>
      <c r="G384" s="3" t="s">
        <v>1152</v>
      </c>
      <c r="H384" s="2" t="str">
        <f>"2005"</f>
        <v>2005</v>
      </c>
      <c r="I384" t="s">
        <v>14</v>
      </c>
      <c r="J384" t="s">
        <v>15</v>
      </c>
    </row>
    <row r="385" spans="1:10">
      <c r="A385" s="2" t="str">
        <f>"382"</f>
        <v>382</v>
      </c>
      <c r="B385" s="2" t="s">
        <v>9</v>
      </c>
      <c r="C385" s="2" t="str">
        <f>"1 (1)"</f>
        <v>1 (1)</v>
      </c>
      <c r="D385" s="2" t="s">
        <v>1193</v>
      </c>
      <c r="E385" s="5" t="s">
        <v>1194</v>
      </c>
      <c r="F385" s="3" t="s">
        <v>1163</v>
      </c>
      <c r="G385" s="3" t="s">
        <v>1152</v>
      </c>
      <c r="H385" s="2" t="str">
        <f>"2005"</f>
        <v>2005</v>
      </c>
      <c r="I385" t="s">
        <v>14</v>
      </c>
      <c r="J385" t="s">
        <v>15</v>
      </c>
    </row>
    <row r="386" spans="1:10">
      <c r="A386" s="2" t="str">
        <f>"383"</f>
        <v>383</v>
      </c>
      <c r="B386" s="2" t="s">
        <v>9</v>
      </c>
      <c r="C386" s="2" t="str">
        <f>"1 (1)"</f>
        <v>1 (1)</v>
      </c>
      <c r="D386" s="2" t="s">
        <v>1195</v>
      </c>
      <c r="E386" s="5" t="s">
        <v>1196</v>
      </c>
      <c r="F386" s="3" t="s">
        <v>1197</v>
      </c>
      <c r="G386" s="3" t="s">
        <v>1198</v>
      </c>
      <c r="H386" s="2" t="str">
        <f>"2007"</f>
        <v>2007</v>
      </c>
      <c r="I386" t="s">
        <v>14</v>
      </c>
      <c r="J386" t="s">
        <v>15</v>
      </c>
    </row>
    <row r="387" spans="1:10">
      <c r="A387" s="2" t="str">
        <f>"384"</f>
        <v>384</v>
      </c>
      <c r="B387" s="2" t="s">
        <v>9</v>
      </c>
      <c r="C387" s="2" t="str">
        <f>"1 (1)"</f>
        <v>1 (1)</v>
      </c>
      <c r="D387" s="2" t="s">
        <v>1199</v>
      </c>
      <c r="E387" s="5" t="s">
        <v>1200</v>
      </c>
      <c r="F387" s="3" t="s">
        <v>1197</v>
      </c>
      <c r="G387" s="3" t="s">
        <v>1201</v>
      </c>
      <c r="H387" s="2" t="str">
        <f>"2010"</f>
        <v>2010</v>
      </c>
      <c r="I387" t="s">
        <v>14</v>
      </c>
      <c r="J387" t="s">
        <v>15</v>
      </c>
    </row>
    <row r="388" spans="1:10">
      <c r="A388" s="2" t="str">
        <f>"385"</f>
        <v>385</v>
      </c>
      <c r="B388" s="2" t="s">
        <v>9</v>
      </c>
      <c r="C388" s="2" t="str">
        <f>"1 (1)"</f>
        <v>1 (1)</v>
      </c>
      <c r="D388" s="2" t="s">
        <v>1202</v>
      </c>
      <c r="E388" s="5" t="s">
        <v>1203</v>
      </c>
      <c r="F388" s="3" t="s">
        <v>1197</v>
      </c>
      <c r="G388" s="3" t="s">
        <v>1201</v>
      </c>
      <c r="H388" s="2" t="str">
        <f>"2010"</f>
        <v>2010</v>
      </c>
      <c r="I388" t="s">
        <v>14</v>
      </c>
      <c r="J388" t="s">
        <v>15</v>
      </c>
    </row>
    <row r="389" spans="1:10">
      <c r="A389" s="2" t="str">
        <f>"386"</f>
        <v>386</v>
      </c>
      <c r="B389" s="2" t="s">
        <v>9</v>
      </c>
      <c r="C389" s="2" t="str">
        <f>"1 (1)"</f>
        <v>1 (1)</v>
      </c>
      <c r="D389" s="2" t="s">
        <v>1204</v>
      </c>
      <c r="E389" s="5" t="s">
        <v>1205</v>
      </c>
      <c r="F389" s="3" t="s">
        <v>1197</v>
      </c>
      <c r="G389" s="3" t="s">
        <v>1198</v>
      </c>
      <c r="H389" s="2" t="str">
        <f>"2007"</f>
        <v>2007</v>
      </c>
      <c r="I389" t="s">
        <v>14</v>
      </c>
      <c r="J389" t="s">
        <v>15</v>
      </c>
    </row>
    <row r="390" spans="1:10">
      <c r="A390" s="2" t="str">
        <f>"387"</f>
        <v>387</v>
      </c>
      <c r="B390" s="2" t="s">
        <v>9</v>
      </c>
      <c r="C390" s="2" t="str">
        <f>"1 (1)"</f>
        <v>1 (1)</v>
      </c>
      <c r="D390" s="2" t="s">
        <v>1206</v>
      </c>
      <c r="E390" s="5" t="s">
        <v>1207</v>
      </c>
      <c r="F390" s="3" t="s">
        <v>1197</v>
      </c>
      <c r="G390" s="3" t="s">
        <v>1198</v>
      </c>
      <c r="H390" s="2" t="str">
        <f>"2007"</f>
        <v>2007</v>
      </c>
      <c r="I390" t="s">
        <v>14</v>
      </c>
      <c r="J390" t="s">
        <v>15</v>
      </c>
    </row>
    <row r="391" spans="1:10">
      <c r="A391" s="2" t="str">
        <f>"388"</f>
        <v>388</v>
      </c>
      <c r="B391" s="2" t="s">
        <v>9</v>
      </c>
      <c r="C391" s="2" t="str">
        <f>"1 (1)"</f>
        <v>1 (1)</v>
      </c>
      <c r="D391" s="2" t="s">
        <v>1208</v>
      </c>
      <c r="E391" s="5" t="s">
        <v>1209</v>
      </c>
      <c r="F391" s="3" t="s">
        <v>1197</v>
      </c>
      <c r="G391" s="3" t="s">
        <v>1198</v>
      </c>
      <c r="H391" s="2" t="str">
        <f>"2007"</f>
        <v>2007</v>
      </c>
      <c r="I391" t="s">
        <v>14</v>
      </c>
      <c r="J391" t="s">
        <v>15</v>
      </c>
    </row>
    <row r="392" spans="1:10">
      <c r="A392" s="2" t="str">
        <f>"389"</f>
        <v>389</v>
      </c>
      <c r="B392" s="2" t="s">
        <v>9</v>
      </c>
      <c r="C392" s="2" t="str">
        <f>"1 (1)"</f>
        <v>1 (1)</v>
      </c>
      <c r="D392" s="2" t="s">
        <v>1210</v>
      </c>
      <c r="E392" s="5" t="s">
        <v>1211</v>
      </c>
      <c r="F392" s="3" t="s">
        <v>1197</v>
      </c>
      <c r="G392" s="3" t="s">
        <v>1201</v>
      </c>
      <c r="H392" s="2" t="str">
        <f>"2010"</f>
        <v>2010</v>
      </c>
      <c r="I392" t="s">
        <v>14</v>
      </c>
      <c r="J392" t="s">
        <v>15</v>
      </c>
    </row>
    <row r="393" spans="1:10">
      <c r="A393" s="2" t="str">
        <f>"390"</f>
        <v>390</v>
      </c>
      <c r="B393" s="2" t="s">
        <v>9</v>
      </c>
      <c r="C393" s="2" t="str">
        <f>"1 (1)"</f>
        <v>1 (1)</v>
      </c>
      <c r="D393" s="2" t="s">
        <v>1212</v>
      </c>
      <c r="E393" s="5" t="s">
        <v>1213</v>
      </c>
      <c r="F393" s="3" t="s">
        <v>1197</v>
      </c>
      <c r="G393" s="3" t="s">
        <v>1198</v>
      </c>
      <c r="H393" s="2" t="str">
        <f>"2007"</f>
        <v>2007</v>
      </c>
      <c r="I393" t="s">
        <v>14</v>
      </c>
      <c r="J393" t="s">
        <v>15</v>
      </c>
    </row>
    <row r="394" spans="1:10">
      <c r="A394" s="2" t="str">
        <f>"391"</f>
        <v>391</v>
      </c>
      <c r="B394" s="2" t="s">
        <v>9</v>
      </c>
      <c r="C394" s="2" t="str">
        <f>"1 (1)"</f>
        <v>1 (1)</v>
      </c>
      <c r="D394" s="2" t="s">
        <v>1214</v>
      </c>
      <c r="E394" s="5" t="s">
        <v>1215</v>
      </c>
      <c r="F394" s="3" t="s">
        <v>1216</v>
      </c>
      <c r="G394" s="3" t="s">
        <v>1217</v>
      </c>
      <c r="H394" s="2" t="str">
        <f>"2012"</f>
        <v>2012</v>
      </c>
      <c r="I394" t="s">
        <v>14</v>
      </c>
      <c r="J394" t="s">
        <v>15</v>
      </c>
    </row>
    <row r="395" spans="1:10">
      <c r="A395" s="2" t="str">
        <f>"392"</f>
        <v>392</v>
      </c>
      <c r="B395" s="2" t="s">
        <v>9</v>
      </c>
      <c r="C395" s="2" t="str">
        <f>"1 (1)"</f>
        <v>1 (1)</v>
      </c>
      <c r="D395" s="2" t="s">
        <v>1218</v>
      </c>
      <c r="E395" s="5" t="s">
        <v>1219</v>
      </c>
      <c r="F395" s="3" t="s">
        <v>1220</v>
      </c>
      <c r="G395" s="3" t="s">
        <v>1221</v>
      </c>
      <c r="H395" s="2" t="str">
        <f>"2012"</f>
        <v>2012</v>
      </c>
      <c r="I395" t="s">
        <v>14</v>
      </c>
      <c r="J395" t="s">
        <v>15</v>
      </c>
    </row>
    <row r="396" spans="1:10">
      <c r="A396" s="2" t="str">
        <f>"393"</f>
        <v>393</v>
      </c>
      <c r="B396" s="2" t="s">
        <v>9</v>
      </c>
      <c r="C396" s="2" t="str">
        <f>"1 (1)"</f>
        <v>1 (1)</v>
      </c>
      <c r="D396" s="2" t="s">
        <v>1222</v>
      </c>
      <c r="E396" s="5" t="s">
        <v>1223</v>
      </c>
      <c r="F396" s="3" t="s">
        <v>1224</v>
      </c>
      <c r="G396" s="3" t="s">
        <v>1221</v>
      </c>
      <c r="H396" s="2" t="str">
        <f>"2012"</f>
        <v>2012</v>
      </c>
      <c r="I396" t="s">
        <v>14</v>
      </c>
      <c r="J396" t="s">
        <v>15</v>
      </c>
    </row>
    <row r="397" spans="1:10">
      <c r="A397" s="2" t="str">
        <f>"394"</f>
        <v>394</v>
      </c>
      <c r="B397" s="2" t="s">
        <v>9</v>
      </c>
      <c r="C397" s="2" t="str">
        <f>"1 (1)"</f>
        <v>1 (1)</v>
      </c>
      <c r="D397" s="2" t="s">
        <v>1225</v>
      </c>
      <c r="E397" s="5" t="s">
        <v>1226</v>
      </c>
      <c r="F397" s="3" t="s">
        <v>1227</v>
      </c>
      <c r="G397" s="3" t="s">
        <v>1221</v>
      </c>
      <c r="H397" s="2" t="str">
        <f>"2012"</f>
        <v>2012</v>
      </c>
      <c r="I397" t="s">
        <v>14</v>
      </c>
      <c r="J397" t="s">
        <v>15</v>
      </c>
    </row>
    <row r="398" spans="1:10">
      <c r="A398" s="2" t="str">
        <f>"395"</f>
        <v>395</v>
      </c>
      <c r="B398" s="2" t="s">
        <v>9</v>
      </c>
      <c r="C398" s="2" t="str">
        <f>"1 (1)"</f>
        <v>1 (1)</v>
      </c>
      <c r="D398" s="2" t="s">
        <v>1228</v>
      </c>
      <c r="E398" s="5" t="s">
        <v>1229</v>
      </c>
      <c r="F398" s="3" t="s">
        <v>1230</v>
      </c>
      <c r="G398" s="3" t="s">
        <v>1231</v>
      </c>
      <c r="H398" s="2" t="str">
        <f>"2012"</f>
        <v>2012</v>
      </c>
      <c r="I398" t="s">
        <v>14</v>
      </c>
      <c r="J398" t="s">
        <v>15</v>
      </c>
    </row>
    <row r="399" spans="1:10">
      <c r="A399" s="2" t="str">
        <f>"396"</f>
        <v>396</v>
      </c>
      <c r="B399" s="2" t="s">
        <v>9</v>
      </c>
      <c r="C399" s="2" t="str">
        <f>"1 (1)"</f>
        <v>1 (1)</v>
      </c>
      <c r="D399" s="2" t="s">
        <v>1232</v>
      </c>
      <c r="E399" s="5" t="s">
        <v>1233</v>
      </c>
      <c r="F399" s="3" t="s">
        <v>1234</v>
      </c>
      <c r="G399" s="3" t="s">
        <v>164</v>
      </c>
      <c r="H399" s="2" t="str">
        <f>"2012"</f>
        <v>2012</v>
      </c>
      <c r="I399" t="s">
        <v>14</v>
      </c>
      <c r="J399" t="s">
        <v>15</v>
      </c>
    </row>
    <row r="400" spans="1:10">
      <c r="A400" s="2" t="str">
        <f>"397"</f>
        <v>397</v>
      </c>
      <c r="B400" s="2" t="s">
        <v>9</v>
      </c>
      <c r="C400" s="2" t="str">
        <f>"1 (1)"</f>
        <v>1 (1)</v>
      </c>
      <c r="D400" s="2" t="s">
        <v>1235</v>
      </c>
      <c r="E400" s="5" t="s">
        <v>1236</v>
      </c>
      <c r="F400" s="3" t="s">
        <v>1237</v>
      </c>
      <c r="G400" s="3" t="s">
        <v>1238</v>
      </c>
      <c r="H400" s="2" t="str">
        <f>"2012"</f>
        <v>2012</v>
      </c>
      <c r="I400" t="s">
        <v>14</v>
      </c>
      <c r="J400" t="s">
        <v>15</v>
      </c>
    </row>
    <row r="401" spans="1:10">
      <c r="A401" s="2" t="str">
        <f>"398"</f>
        <v>398</v>
      </c>
      <c r="B401" s="2" t="s">
        <v>9</v>
      </c>
      <c r="C401" s="2" t="str">
        <f>"1 (1)"</f>
        <v>1 (1)</v>
      </c>
      <c r="D401" s="2" t="s">
        <v>1239</v>
      </c>
      <c r="E401" s="5" t="s">
        <v>1240</v>
      </c>
      <c r="F401" s="3" t="s">
        <v>1241</v>
      </c>
      <c r="G401" s="3" t="s">
        <v>1065</v>
      </c>
      <c r="H401" s="2" t="str">
        <f>"2012"</f>
        <v>2012</v>
      </c>
      <c r="I401" t="s">
        <v>14</v>
      </c>
      <c r="J401" t="s">
        <v>15</v>
      </c>
    </row>
    <row r="402" spans="1:10">
      <c r="A402" s="2" t="str">
        <f>"399"</f>
        <v>399</v>
      </c>
      <c r="B402" s="2" t="s">
        <v>9</v>
      </c>
      <c r="C402" s="2" t="str">
        <f>"1 (1)"</f>
        <v>1 (1)</v>
      </c>
      <c r="D402" s="2" t="s">
        <v>1242</v>
      </c>
      <c r="E402" s="5" t="s">
        <v>1243</v>
      </c>
      <c r="F402" s="3" t="s">
        <v>1244</v>
      </c>
      <c r="G402" s="3" t="s">
        <v>1065</v>
      </c>
      <c r="H402" s="2" t="str">
        <f>"2012"</f>
        <v>2012</v>
      </c>
      <c r="I402" t="s">
        <v>14</v>
      </c>
      <c r="J402" t="s">
        <v>15</v>
      </c>
    </row>
    <row r="403" spans="1:10">
      <c r="A403" s="2" t="str">
        <f>"400"</f>
        <v>400</v>
      </c>
      <c r="B403" s="2" t="s">
        <v>9</v>
      </c>
      <c r="C403" s="2" t="str">
        <f>"1 (1)"</f>
        <v>1 (1)</v>
      </c>
      <c r="D403" s="2" t="s">
        <v>1245</v>
      </c>
      <c r="E403" s="5" t="s">
        <v>1246</v>
      </c>
      <c r="F403" s="3" t="s">
        <v>1247</v>
      </c>
      <c r="G403" s="3" t="s">
        <v>1248</v>
      </c>
      <c r="H403" s="2" t="str">
        <f>"2012"</f>
        <v>2012</v>
      </c>
      <c r="I403" t="s">
        <v>14</v>
      </c>
      <c r="J403" t="s">
        <v>15</v>
      </c>
    </row>
    <row r="404" spans="1:10">
      <c r="A404" s="2" t="str">
        <f>"401"</f>
        <v>401</v>
      </c>
      <c r="B404" s="2" t="s">
        <v>9</v>
      </c>
      <c r="C404" s="2" t="str">
        <f>"1 (1)"</f>
        <v>1 (1)</v>
      </c>
      <c r="D404" s="2" t="s">
        <v>1249</v>
      </c>
      <c r="E404" s="5" t="s">
        <v>1250</v>
      </c>
      <c r="F404" s="3" t="s">
        <v>1251</v>
      </c>
      <c r="G404" s="3" t="s">
        <v>1248</v>
      </c>
      <c r="H404" s="2" t="str">
        <f>"2012"</f>
        <v>2012</v>
      </c>
      <c r="I404" t="s">
        <v>14</v>
      </c>
      <c r="J404" t="s">
        <v>15</v>
      </c>
    </row>
    <row r="405" spans="1:10">
      <c r="A405" s="2" t="str">
        <f>"402"</f>
        <v>402</v>
      </c>
      <c r="B405" s="2" t="s">
        <v>9</v>
      </c>
      <c r="C405" s="2" t="str">
        <f>"1 (1)"</f>
        <v>1 (1)</v>
      </c>
      <c r="D405" s="2" t="s">
        <v>1252</v>
      </c>
      <c r="E405" s="5" t="s">
        <v>1253</v>
      </c>
      <c r="F405" s="3" t="s">
        <v>1254</v>
      </c>
      <c r="G405" s="3" t="s">
        <v>1248</v>
      </c>
      <c r="H405" s="2" t="str">
        <f>"2012"</f>
        <v>2012</v>
      </c>
      <c r="I405" t="s">
        <v>14</v>
      </c>
      <c r="J405" t="s">
        <v>15</v>
      </c>
    </row>
    <row r="406" spans="1:10">
      <c r="A406" s="2" t="str">
        <f>"403"</f>
        <v>403</v>
      </c>
      <c r="B406" s="2" t="s">
        <v>9</v>
      </c>
      <c r="C406" s="2" t="str">
        <f>"1 (1)"</f>
        <v>1 (1)</v>
      </c>
      <c r="D406" s="2" t="s">
        <v>1255</v>
      </c>
      <c r="E406" s="5" t="s">
        <v>1256</v>
      </c>
      <c r="F406" s="3" t="s">
        <v>1257</v>
      </c>
      <c r="G406" s="3" t="s">
        <v>1248</v>
      </c>
      <c r="H406" s="2" t="str">
        <f>"2012"</f>
        <v>2012</v>
      </c>
      <c r="I406" t="s">
        <v>14</v>
      </c>
      <c r="J406" t="s">
        <v>15</v>
      </c>
    </row>
    <row r="407" spans="1:10">
      <c r="A407" s="2" t="str">
        <f>"404"</f>
        <v>404</v>
      </c>
      <c r="B407" s="2" t="s">
        <v>9</v>
      </c>
      <c r="C407" s="2" t="str">
        <f>"1 (1)"</f>
        <v>1 (1)</v>
      </c>
      <c r="D407" s="2" t="s">
        <v>1258</v>
      </c>
      <c r="E407" s="5" t="s">
        <v>1259</v>
      </c>
      <c r="F407" s="3" t="s">
        <v>1260</v>
      </c>
      <c r="G407" s="3" t="s">
        <v>1248</v>
      </c>
      <c r="H407" s="2" t="str">
        <f>"2012"</f>
        <v>2012</v>
      </c>
      <c r="I407" t="s">
        <v>14</v>
      </c>
      <c r="J407" t="s">
        <v>15</v>
      </c>
    </row>
    <row r="408" spans="1:10">
      <c r="A408" s="2" t="str">
        <f>"405"</f>
        <v>405</v>
      </c>
      <c r="B408" s="2" t="s">
        <v>9</v>
      </c>
      <c r="C408" s="2" t="str">
        <f>"1 (1)"</f>
        <v>1 (1)</v>
      </c>
      <c r="D408" s="2" t="s">
        <v>1261</v>
      </c>
      <c r="E408" s="5" t="s">
        <v>1262</v>
      </c>
      <c r="F408" s="3" t="s">
        <v>1263</v>
      </c>
      <c r="G408" s="3" t="s">
        <v>1264</v>
      </c>
      <c r="H408" s="2" t="str">
        <f>"2012"</f>
        <v>2012</v>
      </c>
      <c r="I408" t="s">
        <v>14</v>
      </c>
      <c r="J408" t="s">
        <v>15</v>
      </c>
    </row>
    <row r="409" spans="1:10">
      <c r="A409" s="2" t="str">
        <f>"406"</f>
        <v>406</v>
      </c>
      <c r="B409" s="2" t="s">
        <v>9</v>
      </c>
      <c r="C409" s="2" t="str">
        <f>"1 (1)"</f>
        <v>1 (1)</v>
      </c>
      <c r="D409" s="2" t="s">
        <v>1265</v>
      </c>
      <c r="E409" s="5" t="s">
        <v>1266</v>
      </c>
      <c r="F409" s="3" t="s">
        <v>1267</v>
      </c>
      <c r="G409" s="3" t="s">
        <v>1268</v>
      </c>
      <c r="H409" s="2" t="str">
        <f>"2012"</f>
        <v>2012</v>
      </c>
      <c r="I409" t="s">
        <v>14</v>
      </c>
      <c r="J409" t="s">
        <v>15</v>
      </c>
    </row>
    <row r="410" spans="1:10">
      <c r="A410" s="2" t="str">
        <f>"407"</f>
        <v>407</v>
      </c>
      <c r="B410" s="2" t="s">
        <v>9</v>
      </c>
      <c r="C410" s="2" t="str">
        <f>"1 (1)"</f>
        <v>1 (1)</v>
      </c>
      <c r="D410" s="2" t="s">
        <v>1269</v>
      </c>
      <c r="E410" s="5" t="s">
        <v>1270</v>
      </c>
      <c r="F410" s="3" t="s">
        <v>1271</v>
      </c>
      <c r="G410" s="3" t="s">
        <v>1272</v>
      </c>
      <c r="H410" s="2" t="str">
        <f>"2012"</f>
        <v>2012</v>
      </c>
      <c r="I410" t="s">
        <v>14</v>
      </c>
      <c r="J410" t="s">
        <v>15</v>
      </c>
    </row>
    <row r="411" spans="1:10">
      <c r="A411" s="2" t="str">
        <f>"408"</f>
        <v>408</v>
      </c>
      <c r="B411" s="2" t="s">
        <v>9</v>
      </c>
      <c r="C411" s="2" t="str">
        <f>"1 (1)"</f>
        <v>1 (1)</v>
      </c>
      <c r="D411" s="2" t="s">
        <v>1273</v>
      </c>
      <c r="E411" s="5" t="s">
        <v>1274</v>
      </c>
      <c r="F411" s="3" t="s">
        <v>1271</v>
      </c>
      <c r="G411" s="3" t="s">
        <v>1272</v>
      </c>
      <c r="H411" s="2" t="str">
        <f>"2012"</f>
        <v>2012</v>
      </c>
      <c r="I411" t="s">
        <v>14</v>
      </c>
      <c r="J411" t="s">
        <v>15</v>
      </c>
    </row>
    <row r="412" spans="1:10">
      <c r="A412" s="2" t="str">
        <f>"409"</f>
        <v>409</v>
      </c>
      <c r="B412" s="2" t="s">
        <v>9</v>
      </c>
      <c r="C412" s="2" t="str">
        <f>"1 (1)"</f>
        <v>1 (1)</v>
      </c>
      <c r="D412" s="2" t="s">
        <v>1275</v>
      </c>
      <c r="E412" s="5" t="s">
        <v>1276</v>
      </c>
      <c r="F412" s="3" t="s">
        <v>1271</v>
      </c>
      <c r="G412" s="3" t="s">
        <v>1272</v>
      </c>
      <c r="H412" s="2" t="str">
        <f>"2012"</f>
        <v>2012</v>
      </c>
      <c r="I412" t="s">
        <v>14</v>
      </c>
      <c r="J412" t="s">
        <v>15</v>
      </c>
    </row>
    <row r="413" spans="1:10">
      <c r="A413" s="2" t="str">
        <f>"410"</f>
        <v>410</v>
      </c>
      <c r="B413" s="2" t="s">
        <v>9</v>
      </c>
      <c r="C413" s="2" t="str">
        <f>"1 (1)"</f>
        <v>1 (1)</v>
      </c>
      <c r="D413" s="2" t="s">
        <v>1277</v>
      </c>
      <c r="E413" s="5" t="s">
        <v>1278</v>
      </c>
      <c r="F413" s="3" t="s">
        <v>1271</v>
      </c>
      <c r="G413" s="3" t="s">
        <v>1272</v>
      </c>
      <c r="H413" s="2" t="str">
        <f>"2012"</f>
        <v>2012</v>
      </c>
      <c r="I413" t="s">
        <v>14</v>
      </c>
      <c r="J413" t="s">
        <v>15</v>
      </c>
    </row>
    <row r="414" spans="1:10">
      <c r="A414" s="2" t="str">
        <f>"411"</f>
        <v>411</v>
      </c>
      <c r="B414" s="2" t="s">
        <v>9</v>
      </c>
      <c r="C414" s="2" t="str">
        <f>"1 (1)"</f>
        <v>1 (1)</v>
      </c>
      <c r="D414" s="2" t="s">
        <v>1279</v>
      </c>
      <c r="E414" s="5" t="s">
        <v>1280</v>
      </c>
      <c r="F414" s="3" t="s">
        <v>1281</v>
      </c>
      <c r="G414" s="3" t="s">
        <v>1282</v>
      </c>
      <c r="H414" s="2" t="str">
        <f>"2012"</f>
        <v>2012</v>
      </c>
      <c r="I414" t="s">
        <v>14</v>
      </c>
      <c r="J414" t="s">
        <v>15</v>
      </c>
    </row>
    <row r="415" spans="1:10">
      <c r="A415" s="2" t="str">
        <f>"412"</f>
        <v>412</v>
      </c>
      <c r="B415" s="2" t="s">
        <v>9</v>
      </c>
      <c r="C415" s="2" t="str">
        <f>"1 (1)"</f>
        <v>1 (1)</v>
      </c>
      <c r="D415" s="2" t="s">
        <v>1283</v>
      </c>
      <c r="E415" s="5" t="s">
        <v>1284</v>
      </c>
      <c r="F415" s="3" t="s">
        <v>1285</v>
      </c>
      <c r="G415" s="3" t="s">
        <v>1286</v>
      </c>
      <c r="H415" s="2" t="str">
        <f>"2012"</f>
        <v>2012</v>
      </c>
      <c r="I415" t="s">
        <v>14</v>
      </c>
      <c r="J415" t="s">
        <v>15</v>
      </c>
    </row>
    <row r="416" spans="1:10">
      <c r="A416" s="2" t="str">
        <f>"413"</f>
        <v>413</v>
      </c>
      <c r="B416" s="2" t="s">
        <v>9</v>
      </c>
      <c r="C416" s="2" t="str">
        <f>"1 (1)"</f>
        <v>1 (1)</v>
      </c>
      <c r="D416" s="2" t="s">
        <v>1287</v>
      </c>
      <c r="E416" s="5" t="s">
        <v>1288</v>
      </c>
      <c r="F416" s="3" t="s">
        <v>1289</v>
      </c>
      <c r="G416" s="3" t="s">
        <v>1286</v>
      </c>
      <c r="H416" s="2" t="str">
        <f>"2012"</f>
        <v>2012</v>
      </c>
      <c r="I416" t="s">
        <v>14</v>
      </c>
      <c r="J416" t="s">
        <v>15</v>
      </c>
    </row>
    <row r="417" spans="1:10">
      <c r="A417" s="2" t="str">
        <f>"414"</f>
        <v>414</v>
      </c>
      <c r="B417" s="2" t="s">
        <v>9</v>
      </c>
      <c r="C417" s="2" t="str">
        <f>"1 (1)"</f>
        <v>1 (1)</v>
      </c>
      <c r="D417" s="2" t="s">
        <v>1290</v>
      </c>
      <c r="E417" s="5" t="s">
        <v>1291</v>
      </c>
      <c r="F417" s="3" t="s">
        <v>1292</v>
      </c>
      <c r="G417" s="3" t="s">
        <v>1293</v>
      </c>
      <c r="H417" s="2" t="str">
        <f>"2012"</f>
        <v>2012</v>
      </c>
      <c r="I417" t="s">
        <v>14</v>
      </c>
      <c r="J417" t="s">
        <v>15</v>
      </c>
    </row>
    <row r="418" spans="1:10">
      <c r="A418" s="2" t="str">
        <f>"415"</f>
        <v>415</v>
      </c>
      <c r="B418" s="2" t="s">
        <v>9</v>
      </c>
      <c r="C418" s="2" t="str">
        <f>"1 (1)"</f>
        <v>1 (1)</v>
      </c>
      <c r="D418" s="2" t="s">
        <v>1294</v>
      </c>
      <c r="E418" s="5" t="s">
        <v>1295</v>
      </c>
      <c r="F418" s="3" t="s">
        <v>1296</v>
      </c>
      <c r="G418" s="3" t="s">
        <v>1297</v>
      </c>
      <c r="H418" s="2" t="str">
        <f>"2012"</f>
        <v>2012</v>
      </c>
      <c r="I418" t="s">
        <v>14</v>
      </c>
      <c r="J418" t="s">
        <v>15</v>
      </c>
    </row>
    <row r="419" spans="1:10">
      <c r="A419" s="2" t="str">
        <f>"416"</f>
        <v>416</v>
      </c>
      <c r="B419" s="2" t="s">
        <v>9</v>
      </c>
      <c r="C419" s="2" t="str">
        <f>"1 (1)"</f>
        <v>1 (1)</v>
      </c>
      <c r="D419" s="2" t="s">
        <v>1298</v>
      </c>
      <c r="E419" s="5" t="s">
        <v>1299</v>
      </c>
      <c r="F419" s="3" t="s">
        <v>1300</v>
      </c>
      <c r="G419" s="3" t="s">
        <v>360</v>
      </c>
      <c r="H419" s="2" t="str">
        <f>"2012"</f>
        <v>2012</v>
      </c>
      <c r="I419" t="s">
        <v>14</v>
      </c>
      <c r="J419" t="s">
        <v>15</v>
      </c>
    </row>
    <row r="420" spans="1:10">
      <c r="A420" s="2" t="str">
        <f>"417"</f>
        <v>417</v>
      </c>
      <c r="B420" s="2" t="s">
        <v>9</v>
      </c>
      <c r="C420" s="2" t="str">
        <f>"1 (1)"</f>
        <v>1 (1)</v>
      </c>
      <c r="D420" s="2" t="s">
        <v>1301</v>
      </c>
      <c r="E420" s="5" t="s">
        <v>1302</v>
      </c>
      <c r="F420" s="3" t="s">
        <v>1303</v>
      </c>
      <c r="G420" s="3" t="s">
        <v>360</v>
      </c>
      <c r="H420" s="2" t="str">
        <f>"2012"</f>
        <v>2012</v>
      </c>
      <c r="I420" t="s">
        <v>14</v>
      </c>
      <c r="J420" t="s">
        <v>15</v>
      </c>
    </row>
    <row r="421" spans="1:10">
      <c r="A421" s="2" t="str">
        <f>"418"</f>
        <v>418</v>
      </c>
      <c r="B421" s="2" t="s">
        <v>9</v>
      </c>
      <c r="C421" s="2" t="str">
        <f>"1 (1)"</f>
        <v>1 (1)</v>
      </c>
      <c r="D421" s="2" t="s">
        <v>1304</v>
      </c>
      <c r="E421" s="5" t="s">
        <v>1305</v>
      </c>
      <c r="F421" s="3" t="s">
        <v>1306</v>
      </c>
      <c r="G421" s="3" t="s">
        <v>360</v>
      </c>
      <c r="H421" s="2" t="str">
        <f>"2012"</f>
        <v>2012</v>
      </c>
      <c r="I421" t="s">
        <v>14</v>
      </c>
      <c r="J421" t="s">
        <v>15</v>
      </c>
    </row>
    <row r="422" spans="1:10">
      <c r="A422" s="2" t="str">
        <f>"419"</f>
        <v>419</v>
      </c>
      <c r="B422" s="2" t="s">
        <v>9</v>
      </c>
      <c r="C422" s="2" t="str">
        <f>"1 (1)"</f>
        <v>1 (1)</v>
      </c>
      <c r="D422" s="2" t="s">
        <v>1307</v>
      </c>
      <c r="E422" s="5" t="s">
        <v>1308</v>
      </c>
      <c r="F422" s="3" t="s">
        <v>1309</v>
      </c>
      <c r="G422" s="3" t="s">
        <v>360</v>
      </c>
      <c r="H422" s="2" t="str">
        <f>"2012"</f>
        <v>2012</v>
      </c>
      <c r="I422" t="s">
        <v>14</v>
      </c>
      <c r="J422" t="s">
        <v>15</v>
      </c>
    </row>
    <row r="423" spans="1:10">
      <c r="A423" s="2" t="str">
        <f>"420"</f>
        <v>420</v>
      </c>
      <c r="B423" s="2" t="s">
        <v>9</v>
      </c>
      <c r="C423" s="2" t="str">
        <f>"1 (1)"</f>
        <v>1 (1)</v>
      </c>
      <c r="D423" s="2" t="s">
        <v>1310</v>
      </c>
      <c r="E423" s="5" t="s">
        <v>1311</v>
      </c>
      <c r="F423" s="3" t="s">
        <v>1312</v>
      </c>
      <c r="G423" s="3" t="s">
        <v>360</v>
      </c>
      <c r="H423" s="2" t="str">
        <f>"2012"</f>
        <v>2012</v>
      </c>
      <c r="I423" t="s">
        <v>14</v>
      </c>
      <c r="J423" t="s">
        <v>15</v>
      </c>
    </row>
    <row r="424" spans="1:10">
      <c r="A424" s="2" t="str">
        <f>"421"</f>
        <v>421</v>
      </c>
      <c r="B424" s="2" t="s">
        <v>9</v>
      </c>
      <c r="C424" s="2" t="str">
        <f>"1 (1)"</f>
        <v>1 (1)</v>
      </c>
      <c r="D424" s="2" t="s">
        <v>1313</v>
      </c>
      <c r="E424" s="5" t="s">
        <v>1314</v>
      </c>
      <c r="F424" s="3" t="s">
        <v>1315</v>
      </c>
      <c r="G424" s="3" t="s">
        <v>360</v>
      </c>
      <c r="H424" s="2" t="str">
        <f>"2012"</f>
        <v>2012</v>
      </c>
      <c r="I424" t="s">
        <v>14</v>
      </c>
      <c r="J424" t="s">
        <v>15</v>
      </c>
    </row>
    <row r="425" spans="1:10">
      <c r="A425" s="2" t="str">
        <f>"422"</f>
        <v>422</v>
      </c>
      <c r="B425" s="2" t="s">
        <v>9</v>
      </c>
      <c r="C425" s="2" t="str">
        <f>"1 (1)"</f>
        <v>1 (1)</v>
      </c>
      <c r="D425" s="2" t="s">
        <v>1316</v>
      </c>
      <c r="E425" s="5" t="s">
        <v>1317</v>
      </c>
      <c r="F425" s="3" t="s">
        <v>1318</v>
      </c>
      <c r="G425" s="3" t="s">
        <v>360</v>
      </c>
      <c r="H425" s="2" t="str">
        <f>"2012"</f>
        <v>2012</v>
      </c>
      <c r="I425" t="s">
        <v>14</v>
      </c>
      <c r="J425" t="s">
        <v>15</v>
      </c>
    </row>
    <row r="426" spans="1:10">
      <c r="A426" s="2" t="str">
        <f>"423"</f>
        <v>423</v>
      </c>
      <c r="B426" s="2" t="s">
        <v>9</v>
      </c>
      <c r="C426" s="2" t="str">
        <f>"1 (1)"</f>
        <v>1 (1)</v>
      </c>
      <c r="D426" s="2" t="s">
        <v>1319</v>
      </c>
      <c r="E426" s="5" t="s">
        <v>1320</v>
      </c>
      <c r="F426" s="3" t="s">
        <v>1318</v>
      </c>
      <c r="G426" s="3" t="s">
        <v>360</v>
      </c>
      <c r="H426" s="2" t="str">
        <f>"2012"</f>
        <v>2012</v>
      </c>
      <c r="I426" t="s">
        <v>14</v>
      </c>
      <c r="J426" t="s">
        <v>15</v>
      </c>
    </row>
    <row r="427" spans="1:10">
      <c r="A427" s="2" t="str">
        <f>"424"</f>
        <v>424</v>
      </c>
      <c r="B427" s="2" t="s">
        <v>9</v>
      </c>
      <c r="C427" s="2" t="str">
        <f>"1 (1)"</f>
        <v>1 (1)</v>
      </c>
      <c r="D427" s="2" t="s">
        <v>1321</v>
      </c>
      <c r="E427" s="5" t="s">
        <v>1322</v>
      </c>
      <c r="F427" s="3" t="s">
        <v>1323</v>
      </c>
      <c r="G427" s="3" t="s">
        <v>360</v>
      </c>
      <c r="H427" s="2" t="str">
        <f>"2012"</f>
        <v>2012</v>
      </c>
      <c r="I427" t="s">
        <v>14</v>
      </c>
      <c r="J427" t="s">
        <v>15</v>
      </c>
    </row>
    <row r="428" spans="1:10">
      <c r="A428" s="2" t="str">
        <f>"425"</f>
        <v>425</v>
      </c>
      <c r="B428" s="2" t="s">
        <v>9</v>
      </c>
      <c r="C428" s="2" t="str">
        <f>"1 (1)"</f>
        <v>1 (1)</v>
      </c>
      <c r="D428" s="2" t="s">
        <v>1324</v>
      </c>
      <c r="E428" s="5" t="s">
        <v>1325</v>
      </c>
      <c r="F428" s="3" t="s">
        <v>1309</v>
      </c>
      <c r="G428" s="3" t="s">
        <v>360</v>
      </c>
      <c r="H428" s="2" t="str">
        <f>"2012"</f>
        <v>2012</v>
      </c>
      <c r="I428" t="s">
        <v>14</v>
      </c>
      <c r="J428" t="s">
        <v>15</v>
      </c>
    </row>
    <row r="429" spans="1:10">
      <c r="A429" s="2" t="str">
        <f>"426"</f>
        <v>426</v>
      </c>
      <c r="B429" s="2" t="s">
        <v>9</v>
      </c>
      <c r="C429" s="2" t="str">
        <f>"1 (1)"</f>
        <v>1 (1)</v>
      </c>
      <c r="D429" s="2" t="s">
        <v>1326</v>
      </c>
      <c r="E429" s="5" t="s">
        <v>1327</v>
      </c>
      <c r="F429" s="3" t="s">
        <v>1328</v>
      </c>
      <c r="G429" s="3" t="s">
        <v>360</v>
      </c>
      <c r="H429" s="2" t="str">
        <f>"2012"</f>
        <v>2012</v>
      </c>
      <c r="I429" t="s">
        <v>14</v>
      </c>
      <c r="J429" t="s">
        <v>15</v>
      </c>
    </row>
    <row r="430" spans="1:10">
      <c r="A430" s="2" t="str">
        <f>"427"</f>
        <v>427</v>
      </c>
      <c r="B430" s="2" t="s">
        <v>9</v>
      </c>
      <c r="C430" s="2" t="str">
        <f>"1 (1)"</f>
        <v>1 (1)</v>
      </c>
      <c r="D430" s="2" t="s">
        <v>1329</v>
      </c>
      <c r="E430" s="5" t="s">
        <v>1330</v>
      </c>
      <c r="F430" s="3" t="s">
        <v>1331</v>
      </c>
      <c r="G430" s="3" t="s">
        <v>360</v>
      </c>
      <c r="H430" s="2" t="str">
        <f>"2012"</f>
        <v>2012</v>
      </c>
      <c r="I430" t="s">
        <v>14</v>
      </c>
      <c r="J430" t="s">
        <v>15</v>
      </c>
    </row>
    <row r="431" spans="1:10">
      <c r="A431" s="2" t="str">
        <f>"428"</f>
        <v>428</v>
      </c>
      <c r="B431" s="2" t="s">
        <v>9</v>
      </c>
      <c r="C431" s="2" t="str">
        <f>"1 (1)"</f>
        <v>1 (1)</v>
      </c>
      <c r="D431" s="2" t="s">
        <v>1332</v>
      </c>
      <c r="E431" s="5" t="s">
        <v>1333</v>
      </c>
      <c r="F431" s="3" t="s">
        <v>1334</v>
      </c>
      <c r="G431" s="3" t="s">
        <v>360</v>
      </c>
      <c r="H431" s="2" t="str">
        <f>"2012"</f>
        <v>2012</v>
      </c>
      <c r="I431" t="s">
        <v>14</v>
      </c>
      <c r="J431" t="s">
        <v>15</v>
      </c>
    </row>
    <row r="432" spans="1:10">
      <c r="A432" s="2" t="str">
        <f>"429"</f>
        <v>429</v>
      </c>
      <c r="B432" s="2" t="s">
        <v>9</v>
      </c>
      <c r="C432" s="2" t="str">
        <f>"1 (1)"</f>
        <v>1 (1)</v>
      </c>
      <c r="D432" s="2" t="s">
        <v>1335</v>
      </c>
      <c r="E432" s="5" t="s">
        <v>1336</v>
      </c>
      <c r="F432" s="3" t="s">
        <v>1337</v>
      </c>
      <c r="G432" s="3" t="s">
        <v>676</v>
      </c>
      <c r="H432" s="2" t="str">
        <f>"2012"</f>
        <v>2012</v>
      </c>
      <c r="I432" t="s">
        <v>14</v>
      </c>
      <c r="J432" t="s">
        <v>15</v>
      </c>
    </row>
    <row r="433" spans="1:10">
      <c r="A433" s="2" t="str">
        <f>"430"</f>
        <v>430</v>
      </c>
      <c r="B433" s="2" t="s">
        <v>9</v>
      </c>
      <c r="C433" s="2" t="str">
        <f>"1 (1)"</f>
        <v>1 (1)</v>
      </c>
      <c r="D433" s="2" t="s">
        <v>1338</v>
      </c>
      <c r="E433" s="5" t="s">
        <v>1339</v>
      </c>
      <c r="F433" s="3" t="s">
        <v>1340</v>
      </c>
      <c r="G433" s="3" t="s">
        <v>1341</v>
      </c>
      <c r="H433" s="2" t="str">
        <f>"2012"</f>
        <v>2012</v>
      </c>
      <c r="I433" t="s">
        <v>14</v>
      </c>
      <c r="J433" t="s">
        <v>15</v>
      </c>
    </row>
    <row r="434" spans="1:10">
      <c r="A434" s="2" t="str">
        <f>"431"</f>
        <v>431</v>
      </c>
      <c r="B434" s="2" t="s">
        <v>9</v>
      </c>
      <c r="C434" s="2" t="str">
        <f>"1 (1)"</f>
        <v>1 (1)</v>
      </c>
      <c r="D434" s="2" t="s">
        <v>1342</v>
      </c>
      <c r="E434" s="5" t="s">
        <v>1343</v>
      </c>
      <c r="F434" s="3" t="s">
        <v>1344</v>
      </c>
      <c r="G434" s="3" t="s">
        <v>1341</v>
      </c>
      <c r="H434" s="2" t="str">
        <f>"2012"</f>
        <v>2012</v>
      </c>
      <c r="I434" t="s">
        <v>14</v>
      </c>
      <c r="J434" t="s">
        <v>15</v>
      </c>
    </row>
    <row r="435" spans="1:10">
      <c r="A435" s="2" t="str">
        <f>"432"</f>
        <v>432</v>
      </c>
      <c r="B435" s="2" t="s">
        <v>9</v>
      </c>
      <c r="C435" s="2" t="str">
        <f>"1 (1)"</f>
        <v>1 (1)</v>
      </c>
      <c r="D435" s="2" t="s">
        <v>1345</v>
      </c>
      <c r="E435" s="5" t="s">
        <v>1346</v>
      </c>
      <c r="F435" s="3" t="s">
        <v>1347</v>
      </c>
      <c r="G435" s="3" t="s">
        <v>987</v>
      </c>
      <c r="H435" s="2" t="str">
        <f>"2012"</f>
        <v>2012</v>
      </c>
      <c r="I435" t="s">
        <v>14</v>
      </c>
      <c r="J435" t="s">
        <v>15</v>
      </c>
    </row>
    <row r="436" spans="1:10">
      <c r="A436" s="2" t="str">
        <f>"433"</f>
        <v>433</v>
      </c>
      <c r="B436" s="2" t="s">
        <v>9</v>
      </c>
      <c r="C436" s="2" t="str">
        <f>"1 (1)"</f>
        <v>1 (1)</v>
      </c>
      <c r="D436" s="2" t="s">
        <v>1348</v>
      </c>
      <c r="E436" s="5" t="s">
        <v>1349</v>
      </c>
      <c r="F436" s="3" t="s">
        <v>1350</v>
      </c>
      <c r="G436" s="3" t="s">
        <v>987</v>
      </c>
      <c r="H436" s="2" t="str">
        <f>"2012"</f>
        <v>2012</v>
      </c>
      <c r="I436" t="s">
        <v>14</v>
      </c>
      <c r="J436" t="s">
        <v>15</v>
      </c>
    </row>
    <row r="437" spans="1:10">
      <c r="A437" s="2" t="str">
        <f>"434"</f>
        <v>434</v>
      </c>
      <c r="B437" s="2" t="s">
        <v>9</v>
      </c>
      <c r="C437" s="2" t="str">
        <f>"1 (1)"</f>
        <v>1 (1)</v>
      </c>
      <c r="D437" s="2" t="s">
        <v>1351</v>
      </c>
      <c r="E437" s="5" t="s">
        <v>1352</v>
      </c>
      <c r="F437" s="3" t="s">
        <v>1353</v>
      </c>
      <c r="G437" s="3" t="s">
        <v>384</v>
      </c>
      <c r="H437" s="2" t="str">
        <f>"2012"</f>
        <v>2012</v>
      </c>
      <c r="I437" t="s">
        <v>14</v>
      </c>
      <c r="J437" t="s">
        <v>15</v>
      </c>
    </row>
    <row r="438" spans="1:10">
      <c r="A438" s="2" t="str">
        <f>"435"</f>
        <v>435</v>
      </c>
      <c r="B438" s="2" t="s">
        <v>9</v>
      </c>
      <c r="C438" s="2" t="str">
        <f>"1 (1)"</f>
        <v>1 (1)</v>
      </c>
      <c r="D438" s="2" t="s">
        <v>1354</v>
      </c>
      <c r="E438" s="5" t="s">
        <v>1355</v>
      </c>
      <c r="F438" s="3" t="s">
        <v>1356</v>
      </c>
      <c r="G438" s="3" t="s">
        <v>384</v>
      </c>
      <c r="H438" s="2" t="str">
        <f>"2012"</f>
        <v>2012</v>
      </c>
      <c r="I438" t="s">
        <v>14</v>
      </c>
      <c r="J438" t="s">
        <v>15</v>
      </c>
    </row>
    <row r="439" spans="1:10">
      <c r="A439" s="2" t="str">
        <f>"436"</f>
        <v>436</v>
      </c>
      <c r="B439" s="2" t="s">
        <v>9</v>
      </c>
      <c r="C439" s="2" t="str">
        <f>"1 (1)"</f>
        <v>1 (1)</v>
      </c>
      <c r="D439" s="2" t="s">
        <v>1357</v>
      </c>
      <c r="E439" s="5" t="s">
        <v>1358</v>
      </c>
      <c r="F439" s="3" t="s">
        <v>1359</v>
      </c>
      <c r="G439" s="3" t="s">
        <v>384</v>
      </c>
      <c r="H439" s="2" t="str">
        <f>"2012"</f>
        <v>2012</v>
      </c>
      <c r="I439" t="s">
        <v>14</v>
      </c>
      <c r="J439" t="s">
        <v>15</v>
      </c>
    </row>
    <row r="440" spans="1:10">
      <c r="A440" s="2" t="str">
        <f>"437"</f>
        <v>437</v>
      </c>
      <c r="B440" s="2" t="s">
        <v>9</v>
      </c>
      <c r="C440" s="2" t="str">
        <f>"1 (1)"</f>
        <v>1 (1)</v>
      </c>
      <c r="D440" s="2" t="s">
        <v>1360</v>
      </c>
      <c r="E440" s="5" t="s">
        <v>1361</v>
      </c>
      <c r="F440" s="3" t="s">
        <v>1362</v>
      </c>
      <c r="G440" s="3" t="s">
        <v>384</v>
      </c>
      <c r="H440" s="2" t="str">
        <f>"2012"</f>
        <v>2012</v>
      </c>
      <c r="I440" t="s">
        <v>14</v>
      </c>
      <c r="J440" t="s">
        <v>15</v>
      </c>
    </row>
    <row r="441" spans="1:10">
      <c r="A441" s="2" t="str">
        <f>"438"</f>
        <v>438</v>
      </c>
      <c r="B441" s="2" t="s">
        <v>9</v>
      </c>
      <c r="C441" s="2" t="str">
        <f>"1 (1)"</f>
        <v>1 (1)</v>
      </c>
      <c r="D441" s="2" t="s">
        <v>1363</v>
      </c>
      <c r="E441" s="5" t="s">
        <v>1364</v>
      </c>
      <c r="F441" s="3" t="s">
        <v>1365</v>
      </c>
      <c r="G441" s="3" t="s">
        <v>384</v>
      </c>
      <c r="H441" s="2" t="str">
        <f>"2012"</f>
        <v>2012</v>
      </c>
      <c r="I441" t="s">
        <v>14</v>
      </c>
      <c r="J441" t="s">
        <v>15</v>
      </c>
    </row>
    <row r="442" spans="1:10">
      <c r="A442" s="2" t="str">
        <f>"439"</f>
        <v>439</v>
      </c>
      <c r="B442" s="2" t="s">
        <v>9</v>
      </c>
      <c r="C442" s="2" t="str">
        <f>"1 (1)"</f>
        <v>1 (1)</v>
      </c>
      <c r="D442" s="2" t="s">
        <v>1366</v>
      </c>
      <c r="E442" s="5" t="s">
        <v>1367</v>
      </c>
      <c r="F442" s="3" t="s">
        <v>1368</v>
      </c>
      <c r="G442" s="3" t="s">
        <v>384</v>
      </c>
      <c r="H442" s="2" t="str">
        <f>"2012"</f>
        <v>2012</v>
      </c>
      <c r="I442" t="s">
        <v>14</v>
      </c>
      <c r="J442" t="s">
        <v>15</v>
      </c>
    </row>
    <row r="443" spans="1:10">
      <c r="A443" s="2" t="str">
        <f>"440"</f>
        <v>440</v>
      </c>
      <c r="B443" s="2" t="s">
        <v>9</v>
      </c>
      <c r="C443" s="2" t="str">
        <f>"1 (1)"</f>
        <v>1 (1)</v>
      </c>
      <c r="D443" s="2" t="s">
        <v>1369</v>
      </c>
      <c r="E443" s="5" t="s">
        <v>1370</v>
      </c>
      <c r="F443" s="3" t="s">
        <v>1371</v>
      </c>
      <c r="G443" s="3" t="s">
        <v>384</v>
      </c>
      <c r="H443" s="2" t="str">
        <f>"2012"</f>
        <v>2012</v>
      </c>
      <c r="I443" t="s">
        <v>14</v>
      </c>
      <c r="J443" t="s">
        <v>15</v>
      </c>
    </row>
    <row r="444" spans="1:10">
      <c r="A444" s="2" t="str">
        <f>"441"</f>
        <v>441</v>
      </c>
      <c r="B444" s="2" t="s">
        <v>9</v>
      </c>
      <c r="C444" s="2" t="str">
        <f>"1 (1)"</f>
        <v>1 (1)</v>
      </c>
      <c r="D444" s="2" t="s">
        <v>1372</v>
      </c>
      <c r="E444" s="5" t="s">
        <v>1373</v>
      </c>
      <c r="F444" s="3" t="s">
        <v>1374</v>
      </c>
      <c r="G444" s="3" t="s">
        <v>1375</v>
      </c>
      <c r="H444" s="2" t="str">
        <f>"2012"</f>
        <v>2012</v>
      </c>
      <c r="I444" t="s">
        <v>14</v>
      </c>
      <c r="J444" t="s">
        <v>15</v>
      </c>
    </row>
    <row r="445" spans="1:10">
      <c r="A445" s="2" t="str">
        <f>"442"</f>
        <v>442</v>
      </c>
      <c r="B445" s="2" t="s">
        <v>9</v>
      </c>
      <c r="C445" s="2" t="str">
        <f>"1 (1)"</f>
        <v>1 (1)</v>
      </c>
      <c r="D445" s="2" t="s">
        <v>1376</v>
      </c>
      <c r="E445" s="5" t="s">
        <v>1377</v>
      </c>
      <c r="F445" s="3" t="s">
        <v>1378</v>
      </c>
      <c r="G445" s="3" t="s">
        <v>1379</v>
      </c>
      <c r="H445" s="2" t="str">
        <f>"2012"</f>
        <v>2012</v>
      </c>
      <c r="I445" t="s">
        <v>14</v>
      </c>
      <c r="J445" t="s">
        <v>15</v>
      </c>
    </row>
    <row r="446" spans="1:10">
      <c r="A446" s="2" t="str">
        <f>"443"</f>
        <v>443</v>
      </c>
      <c r="B446" s="2" t="s">
        <v>9</v>
      </c>
      <c r="C446" s="2" t="str">
        <f>"1 (1)"</f>
        <v>1 (1)</v>
      </c>
      <c r="D446" s="2" t="s">
        <v>1380</v>
      </c>
      <c r="E446" s="5" t="s">
        <v>1381</v>
      </c>
      <c r="F446" s="3" t="s">
        <v>1382</v>
      </c>
      <c r="G446" s="3" t="s">
        <v>414</v>
      </c>
      <c r="H446" s="2" t="str">
        <f>"2012"</f>
        <v>2012</v>
      </c>
      <c r="I446" t="s">
        <v>14</v>
      </c>
      <c r="J446" t="s">
        <v>15</v>
      </c>
    </row>
    <row r="447" spans="1:10">
      <c r="A447" s="2" t="str">
        <f>"444"</f>
        <v>444</v>
      </c>
      <c r="B447" s="2" t="s">
        <v>9</v>
      </c>
      <c r="C447" s="2" t="str">
        <f>"1 (1)"</f>
        <v>1 (1)</v>
      </c>
      <c r="D447" s="2" t="s">
        <v>1383</v>
      </c>
      <c r="E447" s="5" t="s">
        <v>1384</v>
      </c>
      <c r="F447" s="3" t="s">
        <v>1385</v>
      </c>
      <c r="G447" s="3" t="s">
        <v>1386</v>
      </c>
      <c r="H447" s="2" t="str">
        <f>"2012"</f>
        <v>2012</v>
      </c>
      <c r="I447" t="s">
        <v>14</v>
      </c>
      <c r="J447" t="s">
        <v>15</v>
      </c>
    </row>
    <row r="448" spans="1:10">
      <c r="A448" s="2" t="str">
        <f>"445"</f>
        <v>445</v>
      </c>
      <c r="B448" s="2" t="s">
        <v>9</v>
      </c>
      <c r="C448" s="2" t="str">
        <f>"1 (1)"</f>
        <v>1 (1)</v>
      </c>
      <c r="D448" s="2" t="s">
        <v>1387</v>
      </c>
      <c r="E448" s="5" t="s">
        <v>1388</v>
      </c>
      <c r="F448" s="3" t="s">
        <v>1389</v>
      </c>
      <c r="G448" s="3" t="s">
        <v>1390</v>
      </c>
      <c r="H448" s="2" t="str">
        <f>"2012"</f>
        <v>2012</v>
      </c>
      <c r="I448" t="s">
        <v>14</v>
      </c>
      <c r="J448" t="s">
        <v>15</v>
      </c>
    </row>
    <row r="449" spans="1:10">
      <c r="A449" s="2" t="str">
        <f>"446"</f>
        <v>446</v>
      </c>
      <c r="B449" s="2" t="s">
        <v>9</v>
      </c>
      <c r="C449" s="2" t="str">
        <f>"1 (1)"</f>
        <v>1 (1)</v>
      </c>
      <c r="D449" s="2" t="s">
        <v>1391</v>
      </c>
      <c r="E449" s="5" t="s">
        <v>1392</v>
      </c>
      <c r="F449" s="3" t="s">
        <v>1393</v>
      </c>
      <c r="G449" s="3" t="s">
        <v>426</v>
      </c>
      <c r="H449" s="2" t="str">
        <f>"2012"</f>
        <v>2012</v>
      </c>
      <c r="I449" t="s">
        <v>14</v>
      </c>
      <c r="J449" t="s">
        <v>15</v>
      </c>
    </row>
    <row r="450" spans="1:10">
      <c r="A450" s="2" t="str">
        <f>"447"</f>
        <v>447</v>
      </c>
      <c r="B450" s="2" t="s">
        <v>9</v>
      </c>
      <c r="C450" s="2" t="str">
        <f>"1 (1)"</f>
        <v>1 (1)</v>
      </c>
      <c r="D450" s="2" t="s">
        <v>1394</v>
      </c>
      <c r="E450" s="5" t="s">
        <v>1395</v>
      </c>
      <c r="F450" s="3" t="s">
        <v>1396</v>
      </c>
      <c r="G450" s="3" t="s">
        <v>426</v>
      </c>
      <c r="H450" s="2" t="str">
        <f>"2012"</f>
        <v>2012</v>
      </c>
      <c r="I450" t="s">
        <v>14</v>
      </c>
      <c r="J450" t="s">
        <v>15</v>
      </c>
    </row>
    <row r="451" spans="1:10">
      <c r="A451" s="2" t="str">
        <f>"448"</f>
        <v>448</v>
      </c>
      <c r="B451" s="2" t="s">
        <v>9</v>
      </c>
      <c r="C451" s="2" t="str">
        <f>"1 (1)"</f>
        <v>1 (1)</v>
      </c>
      <c r="D451" s="2" t="s">
        <v>1397</v>
      </c>
      <c r="E451" s="5" t="s">
        <v>1398</v>
      </c>
      <c r="F451" s="3" t="s">
        <v>1399</v>
      </c>
      <c r="G451" s="3" t="s">
        <v>1400</v>
      </c>
      <c r="H451" s="2" t="str">
        <f>"2012"</f>
        <v>2012</v>
      </c>
      <c r="I451" t="s">
        <v>14</v>
      </c>
      <c r="J451" t="s">
        <v>15</v>
      </c>
    </row>
    <row r="452" spans="1:10">
      <c r="A452" s="2" t="str">
        <f>"449"</f>
        <v>449</v>
      </c>
      <c r="B452" s="2" t="s">
        <v>9</v>
      </c>
      <c r="C452" s="2" t="str">
        <f>"1 (1)"</f>
        <v>1 (1)</v>
      </c>
      <c r="D452" s="2" t="s">
        <v>1401</v>
      </c>
      <c r="E452" s="5" t="s">
        <v>1402</v>
      </c>
      <c r="F452" s="3" t="s">
        <v>1403</v>
      </c>
      <c r="G452" s="3" t="s">
        <v>1404</v>
      </c>
      <c r="H452" s="2" t="str">
        <f>"2012"</f>
        <v>2012</v>
      </c>
      <c r="I452" t="s">
        <v>14</v>
      </c>
      <c r="J452" t="s">
        <v>15</v>
      </c>
    </row>
    <row r="453" spans="1:10">
      <c r="A453" s="2" t="str">
        <f>"450"</f>
        <v>450</v>
      </c>
      <c r="B453" s="2" t="s">
        <v>9</v>
      </c>
      <c r="C453" s="2" t="str">
        <f>"1 (1)"</f>
        <v>1 (1)</v>
      </c>
      <c r="D453" s="2" t="s">
        <v>1405</v>
      </c>
      <c r="E453" s="5" t="s">
        <v>1406</v>
      </c>
      <c r="F453" s="3" t="s">
        <v>1403</v>
      </c>
      <c r="G453" s="3" t="s">
        <v>1404</v>
      </c>
      <c r="H453" s="2" t="str">
        <f>"2011"</f>
        <v>2011</v>
      </c>
      <c r="I453" t="s">
        <v>14</v>
      </c>
      <c r="J453" t="s">
        <v>15</v>
      </c>
    </row>
    <row r="454" spans="1:10">
      <c r="A454" s="2" t="str">
        <f>"451"</f>
        <v>451</v>
      </c>
      <c r="B454" s="2" t="s">
        <v>9</v>
      </c>
      <c r="C454" s="2" t="str">
        <f>"1 (1)"</f>
        <v>1 (1)</v>
      </c>
      <c r="D454" s="2" t="s">
        <v>1407</v>
      </c>
      <c r="E454" s="5" t="s">
        <v>1408</v>
      </c>
      <c r="F454" s="3" t="s">
        <v>1409</v>
      </c>
      <c r="G454" s="3" t="s">
        <v>1410</v>
      </c>
      <c r="H454" s="2" t="str">
        <f>"2012"</f>
        <v>2012</v>
      </c>
      <c r="I454" t="s">
        <v>14</v>
      </c>
      <c r="J454" t="s">
        <v>15</v>
      </c>
    </row>
    <row r="455" spans="1:10">
      <c r="A455" s="2" t="str">
        <f>"452"</f>
        <v>452</v>
      </c>
      <c r="B455" s="2" t="s">
        <v>9</v>
      </c>
      <c r="C455" s="2" t="str">
        <f>"1 (1)"</f>
        <v>1 (1)</v>
      </c>
      <c r="D455" s="2" t="s">
        <v>1411</v>
      </c>
      <c r="E455" s="5" t="s">
        <v>1412</v>
      </c>
      <c r="F455" s="3" t="s">
        <v>1413</v>
      </c>
      <c r="G455" s="3" t="s">
        <v>1003</v>
      </c>
      <c r="H455" s="2" t="str">
        <f>"2012"</f>
        <v>2012</v>
      </c>
      <c r="I455" t="s">
        <v>14</v>
      </c>
      <c r="J455" t="s">
        <v>15</v>
      </c>
    </row>
    <row r="456" spans="1:10">
      <c r="A456" s="2" t="str">
        <f>"453"</f>
        <v>453</v>
      </c>
      <c r="B456" s="2" t="s">
        <v>9</v>
      </c>
      <c r="C456" s="2" t="str">
        <f>"1 (1)"</f>
        <v>1 (1)</v>
      </c>
      <c r="D456" s="2" t="s">
        <v>1414</v>
      </c>
      <c r="E456" s="5" t="s">
        <v>1415</v>
      </c>
      <c r="F456" s="3" t="s">
        <v>1416</v>
      </c>
      <c r="G456" s="3" t="s">
        <v>436</v>
      </c>
      <c r="H456" s="2" t="str">
        <f>"2012"</f>
        <v>2012</v>
      </c>
      <c r="I456" t="s">
        <v>14</v>
      </c>
      <c r="J456" t="s">
        <v>15</v>
      </c>
    </row>
    <row r="457" spans="1:10">
      <c r="A457" s="2" t="str">
        <f>"454"</f>
        <v>454</v>
      </c>
      <c r="B457" s="2" t="s">
        <v>9</v>
      </c>
      <c r="C457" s="2" t="str">
        <f>"1 (1)"</f>
        <v>1 (1)</v>
      </c>
      <c r="D457" s="2" t="s">
        <v>1417</v>
      </c>
      <c r="E457" s="5" t="s">
        <v>1418</v>
      </c>
      <c r="F457" s="3" t="s">
        <v>1419</v>
      </c>
      <c r="G457" s="3" t="s">
        <v>436</v>
      </c>
      <c r="H457" s="2" t="str">
        <f>"2012"</f>
        <v>2012</v>
      </c>
      <c r="I457" t="s">
        <v>14</v>
      </c>
      <c r="J457" t="s">
        <v>15</v>
      </c>
    </row>
    <row r="458" spans="1:10">
      <c r="A458" s="2" t="str">
        <f>"455"</f>
        <v>455</v>
      </c>
      <c r="B458" s="2" t="s">
        <v>9</v>
      </c>
      <c r="C458" s="2" t="str">
        <f>"1 (1)"</f>
        <v>1 (1)</v>
      </c>
      <c r="D458" s="2" t="s">
        <v>1420</v>
      </c>
      <c r="E458" s="5" t="s">
        <v>1421</v>
      </c>
      <c r="F458" s="3" t="s">
        <v>1422</v>
      </c>
      <c r="G458" s="3" t="s">
        <v>436</v>
      </c>
      <c r="H458" s="2" t="str">
        <f>"2012"</f>
        <v>2012</v>
      </c>
      <c r="I458" t="s">
        <v>14</v>
      </c>
      <c r="J458" t="s">
        <v>15</v>
      </c>
    </row>
    <row r="459" spans="1:10">
      <c r="A459" s="2" t="str">
        <f>"456"</f>
        <v>456</v>
      </c>
      <c r="B459" s="2" t="s">
        <v>9</v>
      </c>
      <c r="C459" s="2" t="str">
        <f>"1 (1)"</f>
        <v>1 (1)</v>
      </c>
      <c r="D459" s="2" t="s">
        <v>1423</v>
      </c>
      <c r="E459" s="5" t="s">
        <v>1424</v>
      </c>
      <c r="F459" s="3" t="s">
        <v>1422</v>
      </c>
      <c r="G459" s="3" t="s">
        <v>1010</v>
      </c>
      <c r="H459" s="2" t="str">
        <f>"2012"</f>
        <v>2012</v>
      </c>
      <c r="I459" t="s">
        <v>14</v>
      </c>
      <c r="J459" t="s">
        <v>15</v>
      </c>
    </row>
    <row r="460" spans="1:10">
      <c r="A460" s="2" t="str">
        <f>"457"</f>
        <v>457</v>
      </c>
      <c r="B460" s="2" t="s">
        <v>9</v>
      </c>
      <c r="C460" s="2" t="str">
        <f>"1 (1)"</f>
        <v>1 (1)</v>
      </c>
      <c r="D460" s="2" t="s">
        <v>1425</v>
      </c>
      <c r="E460" s="5" t="s">
        <v>1426</v>
      </c>
      <c r="F460" s="3" t="s">
        <v>1427</v>
      </c>
      <c r="G460" s="3" t="s">
        <v>1428</v>
      </c>
      <c r="H460" s="2" t="str">
        <f>"2012"</f>
        <v>2012</v>
      </c>
      <c r="I460" t="s">
        <v>14</v>
      </c>
      <c r="J460" t="s">
        <v>15</v>
      </c>
    </row>
    <row r="461" spans="1:10">
      <c r="A461" s="2" t="str">
        <f>"458"</f>
        <v>458</v>
      </c>
      <c r="B461" s="2" t="s">
        <v>9</v>
      </c>
      <c r="C461" s="2" t="str">
        <f>"1 (1)"</f>
        <v>1 (1)</v>
      </c>
      <c r="D461" s="2" t="s">
        <v>1429</v>
      </c>
      <c r="E461" s="5" t="s">
        <v>1430</v>
      </c>
      <c r="F461" s="3" t="s">
        <v>1431</v>
      </c>
      <c r="G461" s="3" t="s">
        <v>1432</v>
      </c>
      <c r="H461" s="2" t="str">
        <f>"2012"</f>
        <v>2012</v>
      </c>
      <c r="I461" t="s">
        <v>14</v>
      </c>
      <c r="J461" t="s">
        <v>15</v>
      </c>
    </row>
    <row r="462" spans="1:10">
      <c r="A462" s="2" t="str">
        <f>"459"</f>
        <v>459</v>
      </c>
      <c r="B462" s="2" t="s">
        <v>9</v>
      </c>
      <c r="C462" s="2" t="str">
        <f>"1 (1)"</f>
        <v>1 (1)</v>
      </c>
      <c r="D462" s="2" t="s">
        <v>1433</v>
      </c>
      <c r="E462" s="5" t="s">
        <v>1434</v>
      </c>
      <c r="F462" s="3" t="s">
        <v>1431</v>
      </c>
      <c r="G462" s="3" t="s">
        <v>1432</v>
      </c>
      <c r="H462" s="2" t="str">
        <f>"2012"</f>
        <v>2012</v>
      </c>
      <c r="I462" t="s">
        <v>14</v>
      </c>
      <c r="J462" t="s">
        <v>15</v>
      </c>
    </row>
    <row r="463" spans="1:10">
      <c r="A463" s="2" t="str">
        <f>"460"</f>
        <v>460</v>
      </c>
      <c r="B463" s="2" t="s">
        <v>9</v>
      </c>
      <c r="C463" s="2" t="str">
        <f>"1 (1)"</f>
        <v>1 (1)</v>
      </c>
      <c r="D463" s="2" t="s">
        <v>1435</v>
      </c>
      <c r="E463" s="5" t="s">
        <v>1436</v>
      </c>
      <c r="F463" s="3" t="s">
        <v>1431</v>
      </c>
      <c r="G463" s="3" t="s">
        <v>1437</v>
      </c>
      <c r="H463" s="2" t="str">
        <f>"2012"</f>
        <v>2012</v>
      </c>
      <c r="I463" t="s">
        <v>14</v>
      </c>
      <c r="J463" t="s">
        <v>15</v>
      </c>
    </row>
    <row r="464" spans="1:10">
      <c r="A464" s="2" t="str">
        <f>"461"</f>
        <v>461</v>
      </c>
      <c r="B464" s="2" t="s">
        <v>9</v>
      </c>
      <c r="C464" s="2" t="str">
        <f>"1 (1)"</f>
        <v>1 (1)</v>
      </c>
      <c r="D464" s="2" t="s">
        <v>1438</v>
      </c>
      <c r="E464" s="5" t="s">
        <v>1439</v>
      </c>
      <c r="F464" s="3" t="s">
        <v>1431</v>
      </c>
      <c r="G464" s="3" t="s">
        <v>1437</v>
      </c>
      <c r="H464" s="2" t="str">
        <f>"2012"</f>
        <v>2012</v>
      </c>
      <c r="I464" t="s">
        <v>14</v>
      </c>
      <c r="J464" t="s">
        <v>15</v>
      </c>
    </row>
    <row r="465" spans="1:10">
      <c r="A465" s="2" t="str">
        <f>"462"</f>
        <v>462</v>
      </c>
      <c r="B465" s="2" t="s">
        <v>9</v>
      </c>
      <c r="C465" s="2" t="str">
        <f>"1 (1)"</f>
        <v>1 (1)</v>
      </c>
      <c r="D465" s="2" t="s">
        <v>1440</v>
      </c>
      <c r="E465" s="5" t="s">
        <v>1441</v>
      </c>
      <c r="F465" s="3" t="s">
        <v>1442</v>
      </c>
      <c r="G465" s="3" t="s">
        <v>1443</v>
      </c>
      <c r="H465" s="2" t="str">
        <f>"2012"</f>
        <v>2012</v>
      </c>
      <c r="I465" t="s">
        <v>14</v>
      </c>
      <c r="J465" t="s">
        <v>15</v>
      </c>
    </row>
    <row r="466" spans="1:10">
      <c r="A466" s="2" t="str">
        <f>"463"</f>
        <v>463</v>
      </c>
      <c r="B466" s="2" t="s">
        <v>9</v>
      </c>
      <c r="C466" s="2" t="str">
        <f>"1 (1)"</f>
        <v>1 (1)</v>
      </c>
      <c r="D466" s="2" t="s">
        <v>1444</v>
      </c>
      <c r="E466" s="5" t="s">
        <v>1445</v>
      </c>
      <c r="F466" s="3" t="s">
        <v>1442</v>
      </c>
      <c r="G466" s="3" t="s">
        <v>1443</v>
      </c>
      <c r="H466" s="2" t="str">
        <f>"2012"</f>
        <v>2012</v>
      </c>
      <c r="I466" t="s">
        <v>14</v>
      </c>
      <c r="J466" t="s">
        <v>15</v>
      </c>
    </row>
    <row r="467" spans="1:10">
      <c r="A467" s="2" t="str">
        <f>"464"</f>
        <v>464</v>
      </c>
      <c r="B467" s="2" t="s">
        <v>9</v>
      </c>
      <c r="C467" s="2" t="str">
        <f>"1 (1)"</f>
        <v>1 (1)</v>
      </c>
      <c r="D467" s="2" t="s">
        <v>1446</v>
      </c>
      <c r="E467" s="5" t="s">
        <v>1447</v>
      </c>
      <c r="F467" s="3" t="s">
        <v>1448</v>
      </c>
      <c r="G467" s="3" t="s">
        <v>466</v>
      </c>
      <c r="H467" s="2" t="str">
        <f>"2012"</f>
        <v>2012</v>
      </c>
      <c r="I467" t="s">
        <v>14</v>
      </c>
      <c r="J467" t="s">
        <v>15</v>
      </c>
    </row>
    <row r="468" spans="1:10">
      <c r="A468" s="2" t="str">
        <f>"465"</f>
        <v>465</v>
      </c>
      <c r="B468" s="2" t="s">
        <v>9</v>
      </c>
      <c r="C468" s="2" t="str">
        <f>"1 (1)"</f>
        <v>1 (1)</v>
      </c>
      <c r="D468" s="2" t="s">
        <v>1449</v>
      </c>
      <c r="E468" s="5" t="s">
        <v>1450</v>
      </c>
      <c r="F468" s="3" t="s">
        <v>1451</v>
      </c>
      <c r="G468" s="3" t="s">
        <v>466</v>
      </c>
      <c r="H468" s="2" t="str">
        <f>"2012"</f>
        <v>2012</v>
      </c>
      <c r="I468" t="s">
        <v>14</v>
      </c>
      <c r="J468" t="s">
        <v>15</v>
      </c>
    </row>
    <row r="469" spans="1:10">
      <c r="A469" s="2" t="str">
        <f>"466"</f>
        <v>466</v>
      </c>
      <c r="B469" s="2" t="s">
        <v>9</v>
      </c>
      <c r="C469" s="2" t="str">
        <f>"1 (1)"</f>
        <v>1 (1)</v>
      </c>
      <c r="D469" s="2" t="s">
        <v>1452</v>
      </c>
      <c r="E469" s="5" t="s">
        <v>1453</v>
      </c>
      <c r="F469" s="3" t="s">
        <v>1454</v>
      </c>
      <c r="G469" s="3" t="s">
        <v>466</v>
      </c>
      <c r="H469" s="2" t="str">
        <f>"2012"</f>
        <v>2012</v>
      </c>
      <c r="I469" t="s">
        <v>14</v>
      </c>
      <c r="J469" t="s">
        <v>15</v>
      </c>
    </row>
    <row r="470" spans="1:10">
      <c r="A470" s="2" t="str">
        <f>"467"</f>
        <v>467</v>
      </c>
      <c r="B470" s="2" t="s">
        <v>9</v>
      </c>
      <c r="C470" s="2" t="str">
        <f>"1 (1)"</f>
        <v>1 (1)</v>
      </c>
      <c r="D470" s="2" t="s">
        <v>1455</v>
      </c>
      <c r="E470" s="5" t="s">
        <v>1456</v>
      </c>
      <c r="F470" s="3" t="s">
        <v>1457</v>
      </c>
      <c r="G470" s="3" t="s">
        <v>130</v>
      </c>
      <c r="H470" s="2" t="str">
        <f>"2012"</f>
        <v>2012</v>
      </c>
      <c r="I470" t="s">
        <v>14</v>
      </c>
      <c r="J470" t="s">
        <v>15</v>
      </c>
    </row>
    <row r="471" spans="1:10">
      <c r="A471" s="2" t="str">
        <f>"468"</f>
        <v>468</v>
      </c>
      <c r="B471" s="2" t="s">
        <v>9</v>
      </c>
      <c r="C471" s="2" t="str">
        <f>"1 (1)"</f>
        <v>1 (1)</v>
      </c>
      <c r="D471" s="2" t="s">
        <v>1458</v>
      </c>
      <c r="E471" s="5" t="s">
        <v>1459</v>
      </c>
      <c r="F471" s="3" t="s">
        <v>1460</v>
      </c>
      <c r="G471" s="3" t="s">
        <v>130</v>
      </c>
      <c r="H471" s="2" t="str">
        <f>"2012"</f>
        <v>2012</v>
      </c>
      <c r="I471" t="s">
        <v>14</v>
      </c>
      <c r="J471" t="s">
        <v>15</v>
      </c>
    </row>
    <row r="472" spans="1:10">
      <c r="A472" s="2" t="str">
        <f>"469"</f>
        <v>469</v>
      </c>
      <c r="B472" s="2" t="s">
        <v>9</v>
      </c>
      <c r="C472" s="2" t="str">
        <f>"1 (1)"</f>
        <v>1 (1)</v>
      </c>
      <c r="D472" s="2" t="s">
        <v>1461</v>
      </c>
      <c r="E472" s="5" t="s">
        <v>1462</v>
      </c>
      <c r="F472" s="3" t="s">
        <v>1463</v>
      </c>
      <c r="G472" s="3" t="s">
        <v>482</v>
      </c>
      <c r="H472" s="2" t="str">
        <f>"2012"</f>
        <v>2012</v>
      </c>
      <c r="I472" t="s">
        <v>14</v>
      </c>
      <c r="J472" t="s">
        <v>15</v>
      </c>
    </row>
    <row r="473" spans="1:10">
      <c r="A473" s="2" t="str">
        <f>"470"</f>
        <v>470</v>
      </c>
      <c r="B473" s="2" t="s">
        <v>9</v>
      </c>
      <c r="C473" s="2" t="str">
        <f>"1 (1)"</f>
        <v>1 (1)</v>
      </c>
      <c r="D473" s="2" t="s">
        <v>1464</v>
      </c>
      <c r="E473" s="5" t="s">
        <v>1465</v>
      </c>
      <c r="F473" s="3" t="s">
        <v>1466</v>
      </c>
      <c r="G473" s="3" t="s">
        <v>482</v>
      </c>
      <c r="H473" s="2" t="str">
        <f>"2012"</f>
        <v>2012</v>
      </c>
      <c r="I473" t="s">
        <v>14</v>
      </c>
      <c r="J473" t="s">
        <v>15</v>
      </c>
    </row>
    <row r="474" spans="1:10">
      <c r="A474" s="2" t="str">
        <f>"471"</f>
        <v>471</v>
      </c>
      <c r="B474" s="2" t="s">
        <v>9</v>
      </c>
      <c r="C474" s="2" t="str">
        <f>"1 (1)"</f>
        <v>1 (1)</v>
      </c>
      <c r="D474" s="2" t="s">
        <v>1467</v>
      </c>
      <c r="E474" s="5" t="s">
        <v>1468</v>
      </c>
      <c r="F474" s="3" t="s">
        <v>1469</v>
      </c>
      <c r="G474" s="3" t="s">
        <v>1470</v>
      </c>
      <c r="H474" s="2" t="str">
        <f>"2012"</f>
        <v>2012</v>
      </c>
      <c r="I474" t="s">
        <v>14</v>
      </c>
      <c r="J474" t="s">
        <v>15</v>
      </c>
    </row>
    <row r="475" spans="1:10">
      <c r="A475" s="2" t="str">
        <f>"472"</f>
        <v>472</v>
      </c>
      <c r="B475" s="2" t="s">
        <v>9</v>
      </c>
      <c r="C475" s="2" t="str">
        <f>"1 (1)"</f>
        <v>1 (1)</v>
      </c>
      <c r="D475" s="2" t="s">
        <v>1471</v>
      </c>
      <c r="E475" s="5" t="s">
        <v>1472</v>
      </c>
      <c r="F475" s="3" t="s">
        <v>1473</v>
      </c>
      <c r="G475" s="3" t="s">
        <v>821</v>
      </c>
      <c r="H475" s="2" t="str">
        <f>"2012"</f>
        <v>2012</v>
      </c>
      <c r="I475" t="s">
        <v>14</v>
      </c>
      <c r="J475" t="s">
        <v>15</v>
      </c>
    </row>
    <row r="476" spans="1:10">
      <c r="A476" s="2" t="str">
        <f>"473"</f>
        <v>473</v>
      </c>
      <c r="B476" s="2" t="s">
        <v>9</v>
      </c>
      <c r="C476" s="2" t="str">
        <f>"1 (1)"</f>
        <v>1 (1)</v>
      </c>
      <c r="D476" s="2" t="s">
        <v>1474</v>
      </c>
      <c r="E476" s="5" t="s">
        <v>1475</v>
      </c>
      <c r="F476" s="3" t="s">
        <v>1476</v>
      </c>
      <c r="G476" s="3" t="s">
        <v>1477</v>
      </c>
      <c r="H476" s="2" t="str">
        <f>"2012"</f>
        <v>2012</v>
      </c>
      <c r="I476" t="s">
        <v>14</v>
      </c>
      <c r="J476" t="s">
        <v>15</v>
      </c>
    </row>
    <row r="477" spans="1:10">
      <c r="A477" s="2" t="str">
        <f>"474"</f>
        <v>474</v>
      </c>
      <c r="B477" s="2" t="s">
        <v>9</v>
      </c>
      <c r="C477" s="2" t="str">
        <f>"1 (1)"</f>
        <v>1 (1)</v>
      </c>
      <c r="D477" s="2" t="s">
        <v>1478</v>
      </c>
      <c r="E477" s="5" t="s">
        <v>1479</v>
      </c>
      <c r="F477" s="3" t="s">
        <v>1480</v>
      </c>
      <c r="G477" s="3" t="s">
        <v>1481</v>
      </c>
      <c r="H477" s="2" t="str">
        <f>"2012"</f>
        <v>2012</v>
      </c>
      <c r="I477" t="s">
        <v>14</v>
      </c>
      <c r="J477" t="s">
        <v>15</v>
      </c>
    </row>
    <row r="478" spans="1:10">
      <c r="A478" s="2" t="str">
        <f>"475"</f>
        <v>475</v>
      </c>
      <c r="B478" s="2" t="s">
        <v>9</v>
      </c>
      <c r="C478" s="2" t="str">
        <f>"1 (1)"</f>
        <v>1 (1)</v>
      </c>
      <c r="D478" s="2" t="s">
        <v>1482</v>
      </c>
      <c r="E478" s="5" t="s">
        <v>1483</v>
      </c>
      <c r="F478" s="3" t="s">
        <v>1484</v>
      </c>
      <c r="G478" s="3" t="s">
        <v>832</v>
      </c>
      <c r="H478" s="2" t="str">
        <f>"2012"</f>
        <v>2012</v>
      </c>
      <c r="I478" t="s">
        <v>14</v>
      </c>
      <c r="J478" t="s">
        <v>15</v>
      </c>
    </row>
    <row r="479" spans="1:10">
      <c r="A479" s="2" t="str">
        <f>"476"</f>
        <v>476</v>
      </c>
      <c r="B479" s="2" t="s">
        <v>9</v>
      </c>
      <c r="C479" s="2" t="str">
        <f>"1 (1)"</f>
        <v>1 (1)</v>
      </c>
      <c r="D479" s="2" t="s">
        <v>1485</v>
      </c>
      <c r="E479" s="5" t="s">
        <v>1486</v>
      </c>
      <c r="F479" s="3" t="s">
        <v>1487</v>
      </c>
      <c r="G479" s="3" t="s">
        <v>832</v>
      </c>
      <c r="H479" s="2" t="str">
        <f>"2012"</f>
        <v>2012</v>
      </c>
      <c r="I479" t="s">
        <v>14</v>
      </c>
      <c r="J479" t="s">
        <v>15</v>
      </c>
    </row>
    <row r="480" spans="1:10">
      <c r="A480" s="2" t="str">
        <f>"477"</f>
        <v>477</v>
      </c>
      <c r="B480" s="2" t="s">
        <v>9</v>
      </c>
      <c r="C480" s="2" t="str">
        <f>"1 (1)"</f>
        <v>1 (1)</v>
      </c>
      <c r="D480" s="2" t="s">
        <v>1488</v>
      </c>
      <c r="E480" s="5" t="s">
        <v>1489</v>
      </c>
      <c r="F480" s="3" t="s">
        <v>1490</v>
      </c>
      <c r="G480" s="3" t="s">
        <v>1491</v>
      </c>
      <c r="H480" s="2" t="str">
        <f>"2012"</f>
        <v>2012</v>
      </c>
      <c r="I480" t="s">
        <v>14</v>
      </c>
      <c r="J480" t="s">
        <v>15</v>
      </c>
    </row>
    <row r="481" spans="1:10">
      <c r="A481" s="2" t="str">
        <f>"478"</f>
        <v>478</v>
      </c>
      <c r="B481" s="2" t="s">
        <v>9</v>
      </c>
      <c r="C481" s="2" t="str">
        <f>"1 (1)"</f>
        <v>1 (1)</v>
      </c>
      <c r="D481" s="2" t="s">
        <v>1492</v>
      </c>
      <c r="E481" s="5" t="s">
        <v>1493</v>
      </c>
      <c r="F481" s="3" t="s">
        <v>1494</v>
      </c>
      <c r="G481" s="3" t="s">
        <v>1491</v>
      </c>
      <c r="H481" s="2" t="str">
        <f>"2012"</f>
        <v>2012</v>
      </c>
      <c r="I481" t="s">
        <v>14</v>
      </c>
      <c r="J481" t="s">
        <v>15</v>
      </c>
    </row>
    <row r="482" spans="1:10">
      <c r="A482" s="2" t="str">
        <f>"479"</f>
        <v>479</v>
      </c>
      <c r="B482" s="2" t="s">
        <v>9</v>
      </c>
      <c r="C482" s="2" t="str">
        <f>"1 (1)"</f>
        <v>1 (1)</v>
      </c>
      <c r="D482" s="2" t="s">
        <v>1495</v>
      </c>
      <c r="E482" s="5" t="s">
        <v>1496</v>
      </c>
      <c r="F482" s="3" t="s">
        <v>1497</v>
      </c>
      <c r="G482" s="3" t="s">
        <v>1491</v>
      </c>
      <c r="H482" s="2" t="str">
        <f>"2012"</f>
        <v>2012</v>
      </c>
      <c r="I482" t="s">
        <v>14</v>
      </c>
      <c r="J482" t="s">
        <v>15</v>
      </c>
    </row>
    <row r="483" spans="1:10">
      <c r="A483" s="2" t="str">
        <f>"480"</f>
        <v>480</v>
      </c>
      <c r="B483" s="2" t="s">
        <v>9</v>
      </c>
      <c r="C483" s="2" t="str">
        <f>"1 (1)"</f>
        <v>1 (1)</v>
      </c>
      <c r="D483" s="2" t="s">
        <v>1498</v>
      </c>
      <c r="E483" s="5" t="s">
        <v>1499</v>
      </c>
      <c r="F483" s="3" t="s">
        <v>1500</v>
      </c>
      <c r="G483" s="3" t="s">
        <v>1501</v>
      </c>
      <c r="H483" s="2" t="str">
        <f>"2012"</f>
        <v>2012</v>
      </c>
      <c r="I483" t="s">
        <v>14</v>
      </c>
      <c r="J483" t="s">
        <v>15</v>
      </c>
    </row>
    <row r="484" spans="1:10">
      <c r="A484" s="2" t="str">
        <f>"481"</f>
        <v>481</v>
      </c>
      <c r="B484" s="2" t="s">
        <v>9</v>
      </c>
      <c r="C484" s="2" t="str">
        <f>"1 (1)"</f>
        <v>1 (1)</v>
      </c>
      <c r="D484" s="2" t="s">
        <v>1502</v>
      </c>
      <c r="E484" s="5" t="s">
        <v>1503</v>
      </c>
      <c r="F484" s="3" t="s">
        <v>1504</v>
      </c>
      <c r="G484" s="3" t="s">
        <v>1505</v>
      </c>
      <c r="H484" s="2" t="str">
        <f>"2012"</f>
        <v>2012</v>
      </c>
      <c r="I484" t="s">
        <v>14</v>
      </c>
      <c r="J484" t="s">
        <v>15</v>
      </c>
    </row>
    <row r="485" spans="1:10">
      <c r="A485" s="2" t="str">
        <f>"482"</f>
        <v>482</v>
      </c>
      <c r="B485" s="2" t="s">
        <v>9</v>
      </c>
      <c r="C485" s="2" t="str">
        <f>"1 (1)"</f>
        <v>1 (1)</v>
      </c>
      <c r="D485" s="2" t="s">
        <v>1506</v>
      </c>
      <c r="E485" s="5" t="s">
        <v>1507</v>
      </c>
      <c r="F485" s="3" t="s">
        <v>1508</v>
      </c>
      <c r="G485" s="3" t="s">
        <v>1509</v>
      </c>
      <c r="H485" s="2" t="str">
        <f>"2012"</f>
        <v>2012</v>
      </c>
      <c r="I485" t="s">
        <v>14</v>
      </c>
      <c r="J485" t="s">
        <v>15</v>
      </c>
    </row>
    <row r="486" spans="1:10">
      <c r="A486" s="2" t="str">
        <f>"483"</f>
        <v>483</v>
      </c>
      <c r="B486" s="2" t="s">
        <v>9</v>
      </c>
      <c r="C486" s="2" t="str">
        <f>"1 (1)"</f>
        <v>1 (1)</v>
      </c>
      <c r="D486" s="2" t="s">
        <v>1510</v>
      </c>
      <c r="E486" s="5" t="s">
        <v>1511</v>
      </c>
      <c r="F486" s="3" t="s">
        <v>1512</v>
      </c>
      <c r="G486" s="3" t="s">
        <v>1122</v>
      </c>
      <c r="H486" s="2" t="str">
        <f>"2012"</f>
        <v>2012</v>
      </c>
      <c r="I486" t="s">
        <v>14</v>
      </c>
      <c r="J486" t="s">
        <v>15</v>
      </c>
    </row>
    <row r="487" spans="1:10">
      <c r="A487" s="2" t="str">
        <f>"484"</f>
        <v>484</v>
      </c>
      <c r="B487" s="2" t="s">
        <v>9</v>
      </c>
      <c r="C487" s="2" t="str">
        <f>"1 (1)"</f>
        <v>1 (1)</v>
      </c>
      <c r="D487" s="2" t="s">
        <v>1513</v>
      </c>
      <c r="E487" s="5" t="s">
        <v>1514</v>
      </c>
      <c r="F487" s="3" t="s">
        <v>1515</v>
      </c>
      <c r="G487" s="3" t="s">
        <v>1122</v>
      </c>
      <c r="H487" s="2" t="str">
        <f>"2012"</f>
        <v>2012</v>
      </c>
      <c r="I487" t="s">
        <v>14</v>
      </c>
      <c r="J487" t="s">
        <v>15</v>
      </c>
    </row>
    <row r="488" spans="1:10">
      <c r="A488" s="2" t="str">
        <f>"485"</f>
        <v>485</v>
      </c>
      <c r="B488" s="2" t="s">
        <v>9</v>
      </c>
      <c r="C488" s="2" t="str">
        <f>"1 (1)"</f>
        <v>1 (1)</v>
      </c>
      <c r="D488" s="2" t="s">
        <v>1516</v>
      </c>
      <c r="E488" s="5" t="s">
        <v>1517</v>
      </c>
      <c r="F488" s="3" t="s">
        <v>1518</v>
      </c>
      <c r="G488" s="3" t="s">
        <v>1519</v>
      </c>
      <c r="H488" s="2" t="str">
        <f>"2012"</f>
        <v>2012</v>
      </c>
      <c r="I488" t="s">
        <v>14</v>
      </c>
      <c r="J488" t="s">
        <v>15</v>
      </c>
    </row>
    <row r="489" spans="1:10">
      <c r="A489" s="2" t="str">
        <f>"486"</f>
        <v>486</v>
      </c>
      <c r="B489" s="2" t="s">
        <v>9</v>
      </c>
      <c r="C489" s="2" t="str">
        <f>"1 (1)"</f>
        <v>1 (1)</v>
      </c>
      <c r="D489" s="2" t="s">
        <v>1520</v>
      </c>
      <c r="E489" s="5" t="s">
        <v>1521</v>
      </c>
      <c r="F489" s="3" t="s">
        <v>1522</v>
      </c>
      <c r="G489" s="3" t="s">
        <v>1523</v>
      </c>
      <c r="H489" s="2" t="str">
        <f>"2012"</f>
        <v>2012</v>
      </c>
      <c r="I489" t="s">
        <v>14</v>
      </c>
      <c r="J489" t="s">
        <v>15</v>
      </c>
    </row>
    <row r="490" spans="1:10">
      <c r="A490" s="2" t="str">
        <f>"487"</f>
        <v>487</v>
      </c>
      <c r="B490" s="2" t="s">
        <v>9</v>
      </c>
      <c r="C490" s="2" t="str">
        <f>"1 (1)"</f>
        <v>1 (1)</v>
      </c>
      <c r="D490" s="2" t="s">
        <v>1524</v>
      </c>
      <c r="E490" s="5" t="s">
        <v>1525</v>
      </c>
      <c r="F490" s="3" t="s">
        <v>1526</v>
      </c>
      <c r="G490" s="3" t="s">
        <v>856</v>
      </c>
      <c r="H490" s="2" t="str">
        <f>"2012"</f>
        <v>2012</v>
      </c>
      <c r="I490" t="s">
        <v>14</v>
      </c>
      <c r="J490" t="s">
        <v>15</v>
      </c>
    </row>
    <row r="491" spans="1:10">
      <c r="A491" s="2" t="str">
        <f>"488"</f>
        <v>488</v>
      </c>
      <c r="B491" s="2" t="s">
        <v>9</v>
      </c>
      <c r="C491" s="2" t="str">
        <f>"1 (1)"</f>
        <v>1 (1)</v>
      </c>
      <c r="D491" s="2" t="s">
        <v>1527</v>
      </c>
      <c r="E491" s="5" t="s">
        <v>1528</v>
      </c>
      <c r="F491" s="3" t="s">
        <v>1529</v>
      </c>
      <c r="G491" s="3" t="s">
        <v>1530</v>
      </c>
      <c r="H491" s="2" t="str">
        <f>"2012"</f>
        <v>2012</v>
      </c>
      <c r="I491" t="s">
        <v>14</v>
      </c>
      <c r="J491" t="s">
        <v>15</v>
      </c>
    </row>
    <row r="492" spans="1:10">
      <c r="A492" s="2" t="str">
        <f>"489"</f>
        <v>489</v>
      </c>
      <c r="B492" s="2" t="s">
        <v>9</v>
      </c>
      <c r="C492" s="2" t="str">
        <f>"1 (1)"</f>
        <v>1 (1)</v>
      </c>
      <c r="D492" s="2" t="s">
        <v>1531</v>
      </c>
      <c r="E492" s="5" t="s">
        <v>1532</v>
      </c>
      <c r="F492" s="3" t="s">
        <v>1533</v>
      </c>
      <c r="G492" s="3" t="s">
        <v>1534</v>
      </c>
      <c r="H492" s="2" t="str">
        <f>"2012"</f>
        <v>2012</v>
      </c>
      <c r="I492" t="s">
        <v>14</v>
      </c>
      <c r="J492" t="s">
        <v>15</v>
      </c>
    </row>
    <row r="493" spans="1:10">
      <c r="A493" s="2" t="str">
        <f>"490"</f>
        <v>490</v>
      </c>
      <c r="B493" s="2" t="s">
        <v>9</v>
      </c>
      <c r="C493" s="2" t="str">
        <f>"1 (1)"</f>
        <v>1 (1)</v>
      </c>
      <c r="D493" s="2" t="s">
        <v>1535</v>
      </c>
      <c r="E493" s="5" t="s">
        <v>1536</v>
      </c>
      <c r="F493" s="3" t="s">
        <v>1537</v>
      </c>
      <c r="G493" s="3" t="s">
        <v>156</v>
      </c>
      <c r="H493" s="2" t="str">
        <f>"2012"</f>
        <v>2012</v>
      </c>
      <c r="I493" t="s">
        <v>14</v>
      </c>
      <c r="J493" t="s">
        <v>15</v>
      </c>
    </row>
    <row r="494" spans="1:10">
      <c r="A494" s="2" t="str">
        <f>"491"</f>
        <v>491</v>
      </c>
      <c r="B494" s="2" t="s">
        <v>9</v>
      </c>
      <c r="C494" s="2" t="str">
        <f>"1 (1)"</f>
        <v>1 (1)</v>
      </c>
      <c r="D494" s="2" t="s">
        <v>1538</v>
      </c>
      <c r="E494" s="5" t="s">
        <v>1539</v>
      </c>
      <c r="F494" s="3" t="s">
        <v>1540</v>
      </c>
      <c r="G494" s="3" t="s">
        <v>156</v>
      </c>
      <c r="H494" s="2" t="str">
        <f>"2012"</f>
        <v>2012</v>
      </c>
      <c r="I494" t="s">
        <v>14</v>
      </c>
      <c r="J494" t="s">
        <v>15</v>
      </c>
    </row>
    <row r="495" spans="1:10">
      <c r="A495" s="2" t="str">
        <f>"492"</f>
        <v>492</v>
      </c>
      <c r="B495" s="2" t="s">
        <v>9</v>
      </c>
      <c r="C495" s="2" t="str">
        <f>"1 (1)"</f>
        <v>1 (1)</v>
      </c>
      <c r="D495" s="2" t="s">
        <v>1541</v>
      </c>
      <c r="E495" s="5" t="s">
        <v>1542</v>
      </c>
      <c r="F495" s="3" t="s">
        <v>1543</v>
      </c>
      <c r="G495" s="3" t="s">
        <v>156</v>
      </c>
      <c r="H495" s="2" t="str">
        <f>"2012"</f>
        <v>2012</v>
      </c>
      <c r="I495" t="s">
        <v>14</v>
      </c>
      <c r="J495" t="s">
        <v>15</v>
      </c>
    </row>
    <row r="496" spans="1:10">
      <c r="A496" s="2" t="str">
        <f>"493"</f>
        <v>493</v>
      </c>
      <c r="B496" s="2" t="s">
        <v>9</v>
      </c>
      <c r="C496" s="2" t="str">
        <f>"1 (1)"</f>
        <v>1 (1)</v>
      </c>
      <c r="D496" s="2" t="s">
        <v>1544</v>
      </c>
      <c r="E496" s="5" t="s">
        <v>1545</v>
      </c>
      <c r="F496" s="3" t="s">
        <v>1546</v>
      </c>
      <c r="G496" s="3" t="s">
        <v>156</v>
      </c>
      <c r="H496" s="2" t="str">
        <f>"2012"</f>
        <v>2012</v>
      </c>
      <c r="I496" t="s">
        <v>14</v>
      </c>
      <c r="J496" t="s">
        <v>15</v>
      </c>
    </row>
    <row r="497" spans="1:10">
      <c r="A497" s="2" t="str">
        <f>"494"</f>
        <v>494</v>
      </c>
      <c r="B497" s="2" t="s">
        <v>9</v>
      </c>
      <c r="C497" s="2" t="str">
        <f>"1 (1)"</f>
        <v>1 (1)</v>
      </c>
      <c r="D497" s="2" t="s">
        <v>1547</v>
      </c>
      <c r="E497" s="5" t="s">
        <v>1548</v>
      </c>
      <c r="F497" s="3" t="s">
        <v>1549</v>
      </c>
      <c r="G497" s="3" t="s">
        <v>156</v>
      </c>
      <c r="H497" s="2" t="str">
        <f>"2012"</f>
        <v>2012</v>
      </c>
      <c r="I497" t="s">
        <v>14</v>
      </c>
      <c r="J497" t="s">
        <v>15</v>
      </c>
    </row>
    <row r="498" spans="1:10">
      <c r="A498" s="2" t="str">
        <f>"495"</f>
        <v>495</v>
      </c>
      <c r="B498" s="2" t="s">
        <v>9</v>
      </c>
      <c r="C498" s="2" t="str">
        <f>"1 (1)"</f>
        <v>1 (1)</v>
      </c>
      <c r="D498" s="2" t="s">
        <v>1550</v>
      </c>
      <c r="E498" s="5" t="s">
        <v>1551</v>
      </c>
      <c r="F498" s="3" t="s">
        <v>1552</v>
      </c>
      <c r="G498" s="3" t="s">
        <v>156</v>
      </c>
      <c r="H498" s="2" t="str">
        <f>"2012"</f>
        <v>2012</v>
      </c>
      <c r="I498" t="s">
        <v>14</v>
      </c>
      <c r="J498" t="s">
        <v>15</v>
      </c>
    </row>
    <row r="499" spans="1:10">
      <c r="A499" s="2" t="str">
        <f>"496"</f>
        <v>496</v>
      </c>
      <c r="B499" s="2" t="s">
        <v>9</v>
      </c>
      <c r="C499" s="2" t="str">
        <f>"1 (1)"</f>
        <v>1 (1)</v>
      </c>
      <c r="D499" s="2" t="s">
        <v>1553</v>
      </c>
      <c r="E499" s="5" t="s">
        <v>1554</v>
      </c>
      <c r="F499" s="3" t="s">
        <v>1555</v>
      </c>
      <c r="G499" s="3" t="s">
        <v>156</v>
      </c>
      <c r="H499" s="2" t="str">
        <f>"2012"</f>
        <v>2012</v>
      </c>
      <c r="I499" t="s">
        <v>14</v>
      </c>
      <c r="J499" t="s">
        <v>15</v>
      </c>
    </row>
    <row r="500" spans="1:10">
      <c r="A500" s="2" t="str">
        <f>"497"</f>
        <v>497</v>
      </c>
      <c r="B500" s="2" t="s">
        <v>9</v>
      </c>
      <c r="C500" s="2" t="str">
        <f>"1 (1)"</f>
        <v>1 (1)</v>
      </c>
      <c r="D500" s="2" t="s">
        <v>1556</v>
      </c>
      <c r="E500" s="5" t="s">
        <v>1557</v>
      </c>
      <c r="F500" s="3" t="s">
        <v>1558</v>
      </c>
      <c r="G500" s="3" t="s">
        <v>156</v>
      </c>
      <c r="H500" s="2" t="str">
        <f>"2012"</f>
        <v>2012</v>
      </c>
      <c r="I500" t="s">
        <v>14</v>
      </c>
      <c r="J500" t="s">
        <v>15</v>
      </c>
    </row>
    <row r="501" spans="1:10">
      <c r="A501" s="2" t="str">
        <f>"498"</f>
        <v>498</v>
      </c>
      <c r="B501" s="2" t="s">
        <v>9</v>
      </c>
      <c r="C501" s="2" t="str">
        <f>"1 (1)"</f>
        <v>1 (1)</v>
      </c>
      <c r="D501" s="2" t="s">
        <v>1559</v>
      </c>
      <c r="E501" s="5" t="s">
        <v>1560</v>
      </c>
      <c r="F501" s="3" t="s">
        <v>1561</v>
      </c>
      <c r="G501" s="3" t="s">
        <v>156</v>
      </c>
      <c r="H501" s="2" t="str">
        <f>"2012"</f>
        <v>2012</v>
      </c>
      <c r="I501" t="s">
        <v>14</v>
      </c>
      <c r="J501" t="s">
        <v>15</v>
      </c>
    </row>
    <row r="502" spans="1:10">
      <c r="A502" s="2" t="str">
        <f>"499"</f>
        <v>499</v>
      </c>
      <c r="B502" s="2" t="s">
        <v>9</v>
      </c>
      <c r="C502" s="2" t="str">
        <f>"1 (1)"</f>
        <v>1 (1)</v>
      </c>
      <c r="D502" s="2" t="s">
        <v>1562</v>
      </c>
      <c r="E502" s="5" t="s">
        <v>1563</v>
      </c>
      <c r="F502" s="3" t="s">
        <v>1564</v>
      </c>
      <c r="G502" s="3" t="s">
        <v>156</v>
      </c>
      <c r="H502" s="2" t="str">
        <f>"2012"</f>
        <v>2012</v>
      </c>
      <c r="I502" t="s">
        <v>14</v>
      </c>
      <c r="J502" t="s">
        <v>15</v>
      </c>
    </row>
    <row r="503" spans="1:10">
      <c r="A503" s="2" t="str">
        <f>"500"</f>
        <v>500</v>
      </c>
      <c r="B503" s="2" t="s">
        <v>9</v>
      </c>
      <c r="C503" s="2" t="str">
        <f>"1 (1)"</f>
        <v>1 (1)</v>
      </c>
      <c r="D503" s="2" t="s">
        <v>1565</v>
      </c>
      <c r="E503" s="5" t="s">
        <v>1566</v>
      </c>
      <c r="F503" s="3" t="s">
        <v>1567</v>
      </c>
      <c r="G503" s="3" t="s">
        <v>156</v>
      </c>
      <c r="H503" s="2" t="str">
        <f>"2012"</f>
        <v>2012</v>
      </c>
      <c r="I503" t="s">
        <v>14</v>
      </c>
      <c r="J503" t="s">
        <v>15</v>
      </c>
    </row>
    <row r="504" spans="1:10">
      <c r="A504" s="2" t="str">
        <f>"501"</f>
        <v>501</v>
      </c>
      <c r="B504" s="2" t="s">
        <v>9</v>
      </c>
      <c r="C504" s="2" t="str">
        <f>"1 (1)"</f>
        <v>1 (1)</v>
      </c>
      <c r="D504" s="2" t="s">
        <v>1568</v>
      </c>
      <c r="E504" s="5" t="s">
        <v>1569</v>
      </c>
      <c r="F504" s="3" t="s">
        <v>1570</v>
      </c>
      <c r="G504" s="3" t="s">
        <v>156</v>
      </c>
      <c r="H504" s="2" t="str">
        <f>"2012"</f>
        <v>2012</v>
      </c>
      <c r="I504" t="s">
        <v>14</v>
      </c>
      <c r="J504" t="s">
        <v>15</v>
      </c>
    </row>
    <row r="505" spans="1:10">
      <c r="A505" s="2" t="str">
        <f>"502"</f>
        <v>502</v>
      </c>
      <c r="B505" s="2" t="s">
        <v>9</v>
      </c>
      <c r="C505" s="2" t="str">
        <f>"1 (1)"</f>
        <v>1 (1)</v>
      </c>
      <c r="D505" s="2" t="s">
        <v>1571</v>
      </c>
      <c r="E505" s="5" t="s">
        <v>1572</v>
      </c>
      <c r="F505" s="3" t="s">
        <v>1573</v>
      </c>
      <c r="G505" s="3" t="s">
        <v>156</v>
      </c>
      <c r="H505" s="2" t="str">
        <f>"2012"</f>
        <v>2012</v>
      </c>
      <c r="I505" t="s">
        <v>14</v>
      </c>
      <c r="J505" t="s">
        <v>15</v>
      </c>
    </row>
    <row r="506" spans="1:10">
      <c r="A506" s="2" t="str">
        <f>"503"</f>
        <v>503</v>
      </c>
      <c r="B506" s="2" t="s">
        <v>9</v>
      </c>
      <c r="C506" s="2" t="str">
        <f>"1 (1)"</f>
        <v>1 (1)</v>
      </c>
      <c r="D506" s="2" t="s">
        <v>1574</v>
      </c>
      <c r="E506" s="5" t="s">
        <v>1575</v>
      </c>
      <c r="F506" s="3" t="s">
        <v>1576</v>
      </c>
      <c r="G506" s="3" t="s">
        <v>156</v>
      </c>
      <c r="H506" s="2" t="str">
        <f>"2012"</f>
        <v>2012</v>
      </c>
      <c r="I506" t="s">
        <v>14</v>
      </c>
      <c r="J506" t="s">
        <v>15</v>
      </c>
    </row>
    <row r="507" spans="1:10">
      <c r="A507" s="2" t="str">
        <f>"504"</f>
        <v>504</v>
      </c>
      <c r="B507" s="2" t="s">
        <v>9</v>
      </c>
      <c r="C507" s="2" t="str">
        <f>"1 (1)"</f>
        <v>1 (1)</v>
      </c>
      <c r="D507" s="2" t="s">
        <v>1577</v>
      </c>
      <c r="E507" s="5" t="s">
        <v>1578</v>
      </c>
      <c r="F507" s="3" t="s">
        <v>1036</v>
      </c>
      <c r="G507" s="3" t="s">
        <v>156</v>
      </c>
      <c r="H507" s="2" t="str">
        <f>"2012"</f>
        <v>2012</v>
      </c>
      <c r="I507" t="s">
        <v>14</v>
      </c>
      <c r="J507" t="s">
        <v>15</v>
      </c>
    </row>
    <row r="508" spans="1:10">
      <c r="A508" s="2" t="str">
        <f>"505"</f>
        <v>505</v>
      </c>
      <c r="B508" s="2" t="s">
        <v>9</v>
      </c>
      <c r="C508" s="2" t="str">
        <f>"1 (1)"</f>
        <v>1 (1)</v>
      </c>
      <c r="D508" s="2" t="s">
        <v>1579</v>
      </c>
      <c r="E508" s="5" t="s">
        <v>1580</v>
      </c>
      <c r="F508" s="3" t="s">
        <v>1581</v>
      </c>
      <c r="G508" s="3" t="s">
        <v>156</v>
      </c>
      <c r="H508" s="2" t="str">
        <f>"2012"</f>
        <v>2012</v>
      </c>
      <c r="I508" t="s">
        <v>14</v>
      </c>
      <c r="J508" t="s">
        <v>15</v>
      </c>
    </row>
    <row r="509" spans="1:10">
      <c r="A509" s="2" t="str">
        <f>"506"</f>
        <v>506</v>
      </c>
      <c r="B509" s="2" t="s">
        <v>9</v>
      </c>
      <c r="C509" s="2" t="str">
        <f>"1 (1)"</f>
        <v>1 (1)</v>
      </c>
      <c r="D509" s="2" t="s">
        <v>1582</v>
      </c>
      <c r="E509" s="5" t="s">
        <v>1583</v>
      </c>
      <c r="F509" s="3" t="s">
        <v>1584</v>
      </c>
      <c r="G509" s="3" t="s">
        <v>156</v>
      </c>
      <c r="H509" s="2" t="str">
        <f>"2012"</f>
        <v>2012</v>
      </c>
      <c r="I509" t="s">
        <v>14</v>
      </c>
      <c r="J509" t="s">
        <v>15</v>
      </c>
    </row>
    <row r="510" spans="1:10">
      <c r="A510" s="2" t="str">
        <f>"507"</f>
        <v>507</v>
      </c>
      <c r="B510" s="2" t="s">
        <v>9</v>
      </c>
      <c r="C510" s="2" t="str">
        <f>"1 (1)"</f>
        <v>1 (1)</v>
      </c>
      <c r="D510" s="2" t="s">
        <v>1585</v>
      </c>
      <c r="E510" s="5" t="s">
        <v>1586</v>
      </c>
      <c r="F510" s="3" t="s">
        <v>1587</v>
      </c>
      <c r="G510" s="3" t="s">
        <v>156</v>
      </c>
      <c r="H510" s="2" t="str">
        <f>"2012"</f>
        <v>2012</v>
      </c>
      <c r="I510" t="s">
        <v>14</v>
      </c>
      <c r="J510" t="s">
        <v>15</v>
      </c>
    </row>
    <row r="511" spans="1:10">
      <c r="A511" s="2" t="str">
        <f>"508"</f>
        <v>508</v>
      </c>
      <c r="B511" s="2" t="s">
        <v>9</v>
      </c>
      <c r="C511" s="2" t="str">
        <f>"1 (1)"</f>
        <v>1 (1)</v>
      </c>
      <c r="D511" s="2" t="s">
        <v>1588</v>
      </c>
      <c r="E511" s="5" t="s">
        <v>1589</v>
      </c>
      <c r="F511" s="3" t="s">
        <v>872</v>
      </c>
      <c r="G511" s="3" t="s">
        <v>156</v>
      </c>
      <c r="H511" s="2" t="str">
        <f>"2012"</f>
        <v>2012</v>
      </c>
      <c r="I511" t="s">
        <v>14</v>
      </c>
      <c r="J511" t="s">
        <v>15</v>
      </c>
    </row>
    <row r="512" spans="1:10">
      <c r="A512" s="2" t="str">
        <f>"509"</f>
        <v>509</v>
      </c>
      <c r="B512" s="2" t="s">
        <v>9</v>
      </c>
      <c r="C512" s="2" t="str">
        <f>"1 (1)"</f>
        <v>1 (1)</v>
      </c>
      <c r="D512" s="2" t="s">
        <v>1590</v>
      </c>
      <c r="E512" s="5" t="s">
        <v>1591</v>
      </c>
      <c r="F512" s="3" t="s">
        <v>1592</v>
      </c>
      <c r="G512" s="3" t="s">
        <v>156</v>
      </c>
      <c r="H512" s="2" t="str">
        <f>"2012"</f>
        <v>2012</v>
      </c>
      <c r="I512" t="s">
        <v>14</v>
      </c>
      <c r="J512" t="s">
        <v>15</v>
      </c>
    </row>
    <row r="513" spans="1:10">
      <c r="A513" s="2" t="str">
        <f>"510"</f>
        <v>510</v>
      </c>
      <c r="B513" s="2" t="s">
        <v>9</v>
      </c>
      <c r="C513" s="2" t="str">
        <f>"1 (1)"</f>
        <v>1 (1)</v>
      </c>
      <c r="D513" s="2" t="s">
        <v>1593</v>
      </c>
      <c r="E513" s="5" t="s">
        <v>1594</v>
      </c>
      <c r="F513" s="3" t="s">
        <v>1595</v>
      </c>
      <c r="G513" s="3" t="s">
        <v>156</v>
      </c>
      <c r="H513" s="2" t="str">
        <f>"2012"</f>
        <v>2012</v>
      </c>
      <c r="I513" t="s">
        <v>14</v>
      </c>
      <c r="J513" t="s">
        <v>15</v>
      </c>
    </row>
    <row r="514" spans="1:10">
      <c r="A514" s="2" t="str">
        <f>"511"</f>
        <v>511</v>
      </c>
      <c r="B514" s="2" t="s">
        <v>9</v>
      </c>
      <c r="C514" s="2" t="str">
        <f>"1 (1)"</f>
        <v>1 (1)</v>
      </c>
      <c r="D514" s="2" t="s">
        <v>1596</v>
      </c>
      <c r="E514" s="5" t="s">
        <v>1597</v>
      </c>
      <c r="F514" s="3" t="s">
        <v>1598</v>
      </c>
      <c r="G514" s="3" t="s">
        <v>156</v>
      </c>
      <c r="H514" s="2" t="str">
        <f>"2012"</f>
        <v>2012</v>
      </c>
      <c r="I514" t="s">
        <v>14</v>
      </c>
      <c r="J514" t="s">
        <v>15</v>
      </c>
    </row>
    <row r="515" spans="1:10">
      <c r="A515" s="2" t="str">
        <f>"512"</f>
        <v>512</v>
      </c>
      <c r="B515" s="2" t="s">
        <v>9</v>
      </c>
      <c r="C515" s="2" t="str">
        <f>"1 (1)"</f>
        <v>1 (1)</v>
      </c>
      <c r="D515" s="2" t="s">
        <v>1599</v>
      </c>
      <c r="E515" s="5" t="s">
        <v>1600</v>
      </c>
      <c r="F515" s="3" t="s">
        <v>1601</v>
      </c>
      <c r="G515" s="3" t="s">
        <v>1602</v>
      </c>
      <c r="H515" s="2" t="str">
        <f>"2012"</f>
        <v>2012</v>
      </c>
      <c r="I515" t="s">
        <v>14</v>
      </c>
      <c r="J515" t="s">
        <v>15</v>
      </c>
    </row>
    <row r="516" spans="1:10">
      <c r="A516" s="2" t="str">
        <f>"513"</f>
        <v>513</v>
      </c>
      <c r="B516" s="2" t="s">
        <v>9</v>
      </c>
      <c r="C516" s="2" t="str">
        <f>"1 (1)"</f>
        <v>1 (1)</v>
      </c>
      <c r="D516" s="2" t="s">
        <v>1603</v>
      </c>
      <c r="E516" s="5" t="s">
        <v>1604</v>
      </c>
      <c r="F516" s="3" t="s">
        <v>1605</v>
      </c>
      <c r="G516" s="3" t="s">
        <v>1606</v>
      </c>
      <c r="H516" s="2" t="str">
        <f>"2012"</f>
        <v>2012</v>
      </c>
      <c r="I516" t="s">
        <v>14</v>
      </c>
      <c r="J516" t="s">
        <v>15</v>
      </c>
    </row>
    <row r="517" spans="1:10">
      <c r="A517" s="2" t="str">
        <f>"514"</f>
        <v>514</v>
      </c>
      <c r="B517" s="2" t="s">
        <v>9</v>
      </c>
      <c r="C517" s="2" t="str">
        <f>"1 (1)"</f>
        <v>1 (1)</v>
      </c>
      <c r="D517" s="2" t="s">
        <v>1607</v>
      </c>
      <c r="E517" s="5" t="s">
        <v>1608</v>
      </c>
      <c r="F517" s="3" t="s">
        <v>1609</v>
      </c>
      <c r="G517" s="3" t="s">
        <v>496</v>
      </c>
      <c r="H517" s="2" t="str">
        <f>"2012"</f>
        <v>2012</v>
      </c>
      <c r="I517" t="s">
        <v>14</v>
      </c>
      <c r="J517" t="s">
        <v>15</v>
      </c>
    </row>
    <row r="518" spans="1:10">
      <c r="A518" s="2" t="str">
        <f>"515"</f>
        <v>515</v>
      </c>
      <c r="B518" s="2" t="s">
        <v>9</v>
      </c>
      <c r="C518" s="2" t="str">
        <f>"1 (1)"</f>
        <v>1 (1)</v>
      </c>
      <c r="D518" s="2" t="s">
        <v>1610</v>
      </c>
      <c r="E518" s="5" t="s">
        <v>1611</v>
      </c>
      <c r="F518" s="3" t="s">
        <v>1612</v>
      </c>
      <c r="G518" s="3" t="s">
        <v>1613</v>
      </c>
      <c r="H518" s="2" t="str">
        <f>"2012"</f>
        <v>2012</v>
      </c>
      <c r="I518" t="s">
        <v>14</v>
      </c>
      <c r="J518" t="s">
        <v>15</v>
      </c>
    </row>
    <row r="519" spans="1:10">
      <c r="A519" s="2" t="str">
        <f>"516"</f>
        <v>516</v>
      </c>
      <c r="B519" s="2" t="s">
        <v>9</v>
      </c>
      <c r="C519" s="2" t="str">
        <f>"1 (1)"</f>
        <v>1 (1)</v>
      </c>
      <c r="D519" s="2" t="s">
        <v>1614</v>
      </c>
      <c r="E519" s="5" t="s">
        <v>1615</v>
      </c>
      <c r="F519" s="3" t="s">
        <v>1616</v>
      </c>
      <c r="G519" s="3" t="s">
        <v>1617</v>
      </c>
      <c r="H519" s="2" t="str">
        <f>"2012"</f>
        <v>2012</v>
      </c>
      <c r="I519" t="s">
        <v>14</v>
      </c>
      <c r="J519" t="s">
        <v>15</v>
      </c>
    </row>
    <row r="520" spans="1:10">
      <c r="A520" s="2" t="str">
        <f>"517"</f>
        <v>517</v>
      </c>
      <c r="B520" s="2" t="s">
        <v>9</v>
      </c>
      <c r="C520" s="2" t="str">
        <f>"1 (1)"</f>
        <v>1 (1)</v>
      </c>
      <c r="D520" s="2" t="s">
        <v>1618</v>
      </c>
      <c r="E520" s="5" t="s">
        <v>1619</v>
      </c>
      <c r="F520" s="3" t="s">
        <v>1620</v>
      </c>
      <c r="G520" s="3" t="s">
        <v>1248</v>
      </c>
      <c r="H520" s="2" t="str">
        <f>"2012"</f>
        <v>2012</v>
      </c>
      <c r="I520" t="s">
        <v>14</v>
      </c>
      <c r="J520" t="s">
        <v>15</v>
      </c>
    </row>
    <row r="521" spans="1:10">
      <c r="A521" s="2" t="str">
        <f>"518"</f>
        <v>518</v>
      </c>
      <c r="B521" s="2" t="s">
        <v>9</v>
      </c>
      <c r="C521" s="2" t="str">
        <f>"1 (1)"</f>
        <v>1 (1)</v>
      </c>
      <c r="D521" s="2" t="s">
        <v>1621</v>
      </c>
      <c r="E521" s="5" t="s">
        <v>1622</v>
      </c>
      <c r="F521" s="3" t="s">
        <v>1623</v>
      </c>
      <c r="G521" s="3" t="s">
        <v>1624</v>
      </c>
      <c r="H521" s="2" t="str">
        <f>"2012"</f>
        <v>2012</v>
      </c>
      <c r="I521" t="s">
        <v>14</v>
      </c>
      <c r="J521" t="s">
        <v>15</v>
      </c>
    </row>
    <row r="522" spans="1:10">
      <c r="A522" s="2" t="str">
        <f>"519"</f>
        <v>519</v>
      </c>
      <c r="B522" s="2" t="s">
        <v>9</v>
      </c>
      <c r="C522" s="2" t="str">
        <f>"1 (1)"</f>
        <v>1 (1)</v>
      </c>
      <c r="D522" s="2" t="s">
        <v>1625</v>
      </c>
      <c r="E522" s="5" t="s">
        <v>1626</v>
      </c>
      <c r="F522" s="3" t="s">
        <v>1627</v>
      </c>
      <c r="G522" s="3" t="s">
        <v>257</v>
      </c>
      <c r="H522" s="2" t="str">
        <f>"2012"</f>
        <v>2012</v>
      </c>
      <c r="I522" t="s">
        <v>14</v>
      </c>
      <c r="J522" t="s">
        <v>15</v>
      </c>
    </row>
    <row r="523" spans="1:10">
      <c r="A523" s="2" t="str">
        <f>"520"</f>
        <v>520</v>
      </c>
      <c r="B523" s="2" t="s">
        <v>9</v>
      </c>
      <c r="C523" s="2" t="str">
        <f>"1 (1)"</f>
        <v>1 (1)</v>
      </c>
      <c r="D523" s="2" t="s">
        <v>1628</v>
      </c>
      <c r="E523" s="5" t="s">
        <v>1629</v>
      </c>
      <c r="F523" s="3" t="s">
        <v>1630</v>
      </c>
      <c r="G523" s="3" t="s">
        <v>257</v>
      </c>
      <c r="H523" s="2" t="str">
        <f>"2011"</f>
        <v>2011</v>
      </c>
      <c r="I523" t="s">
        <v>14</v>
      </c>
      <c r="J523" t="s">
        <v>15</v>
      </c>
    </row>
    <row r="524" spans="1:10">
      <c r="A524" s="2" t="str">
        <f>"521"</f>
        <v>521</v>
      </c>
      <c r="B524" s="2" t="s">
        <v>9</v>
      </c>
      <c r="C524" s="2" t="str">
        <f>"1 (1)"</f>
        <v>1 (1)</v>
      </c>
      <c r="D524" s="2" t="s">
        <v>1631</v>
      </c>
      <c r="E524" s="5" t="s">
        <v>1632</v>
      </c>
      <c r="F524" s="3" t="s">
        <v>1633</v>
      </c>
      <c r="G524" s="3" t="s">
        <v>257</v>
      </c>
      <c r="H524" s="2" t="str">
        <f>"2012"</f>
        <v>2012</v>
      </c>
      <c r="I524" t="s">
        <v>14</v>
      </c>
      <c r="J524" t="s">
        <v>15</v>
      </c>
    </row>
    <row r="525" spans="1:10">
      <c r="A525" s="2" t="str">
        <f>"522"</f>
        <v>522</v>
      </c>
      <c r="B525" s="2" t="s">
        <v>9</v>
      </c>
      <c r="C525" s="2" t="str">
        <f>"1 (1)"</f>
        <v>1 (1)</v>
      </c>
      <c r="D525" s="2" t="s">
        <v>1634</v>
      </c>
      <c r="E525" s="5" t="s">
        <v>1635</v>
      </c>
      <c r="F525" s="3" t="s">
        <v>1636</v>
      </c>
      <c r="G525" s="3" t="s">
        <v>257</v>
      </c>
      <c r="H525" s="2" t="str">
        <f>"2011"</f>
        <v>2011</v>
      </c>
      <c r="I525" t="s">
        <v>14</v>
      </c>
      <c r="J525" t="s">
        <v>15</v>
      </c>
    </row>
    <row r="526" spans="1:10">
      <c r="A526" s="2" t="str">
        <f>"523"</f>
        <v>523</v>
      </c>
      <c r="B526" s="2" t="s">
        <v>9</v>
      </c>
      <c r="C526" s="2" t="str">
        <f>"1 (1)"</f>
        <v>1 (1)</v>
      </c>
      <c r="D526" s="2" t="s">
        <v>1637</v>
      </c>
      <c r="E526" s="5" t="s">
        <v>1638</v>
      </c>
      <c r="F526" s="3" t="s">
        <v>1639</v>
      </c>
      <c r="G526" s="3" t="s">
        <v>257</v>
      </c>
      <c r="H526" s="2" t="str">
        <f>"2011"</f>
        <v>2011</v>
      </c>
      <c r="I526" t="s">
        <v>14</v>
      </c>
      <c r="J526" t="s">
        <v>15</v>
      </c>
    </row>
    <row r="527" spans="1:10">
      <c r="A527" s="2" t="str">
        <f>"524"</f>
        <v>524</v>
      </c>
      <c r="B527" s="2" t="s">
        <v>9</v>
      </c>
      <c r="C527" s="2" t="str">
        <f>"1 (1)"</f>
        <v>1 (1)</v>
      </c>
      <c r="D527" s="2" t="s">
        <v>1640</v>
      </c>
      <c r="E527" s="5" t="s">
        <v>1641</v>
      </c>
      <c r="F527" s="3" t="s">
        <v>1642</v>
      </c>
      <c r="G527" s="3" t="s">
        <v>257</v>
      </c>
      <c r="H527" s="2" t="str">
        <f>"2012"</f>
        <v>2012</v>
      </c>
      <c r="I527" t="s">
        <v>14</v>
      </c>
      <c r="J527" t="s">
        <v>15</v>
      </c>
    </row>
    <row r="528" spans="1:10">
      <c r="A528" s="2" t="str">
        <f>"525"</f>
        <v>525</v>
      </c>
      <c r="B528" s="2" t="s">
        <v>9</v>
      </c>
      <c r="C528" s="2" t="str">
        <f>"1 (1)"</f>
        <v>1 (1)</v>
      </c>
      <c r="D528" s="2" t="s">
        <v>1643</v>
      </c>
      <c r="E528" s="5" t="s">
        <v>1644</v>
      </c>
      <c r="F528" s="3" t="s">
        <v>1645</v>
      </c>
      <c r="G528" s="3" t="s">
        <v>257</v>
      </c>
      <c r="H528" s="2" t="str">
        <f>"2011"</f>
        <v>2011</v>
      </c>
      <c r="I528" t="s">
        <v>14</v>
      </c>
      <c r="J528" t="s">
        <v>15</v>
      </c>
    </row>
    <row r="529" spans="1:10">
      <c r="A529" s="2" t="str">
        <f>"526"</f>
        <v>526</v>
      </c>
      <c r="B529" s="2" t="s">
        <v>9</v>
      </c>
      <c r="C529" s="2" t="str">
        <f>"1 (1)"</f>
        <v>1 (1)</v>
      </c>
      <c r="D529" s="2" t="s">
        <v>1646</v>
      </c>
      <c r="E529" s="5" t="s">
        <v>1647</v>
      </c>
      <c r="F529" s="3" t="s">
        <v>1648</v>
      </c>
      <c r="G529" s="3" t="s">
        <v>257</v>
      </c>
      <c r="H529" s="2" t="str">
        <f>"2012"</f>
        <v>2012</v>
      </c>
      <c r="I529" t="s">
        <v>14</v>
      </c>
      <c r="J529" t="s">
        <v>15</v>
      </c>
    </row>
    <row r="530" spans="1:10">
      <c r="A530" s="2" t="str">
        <f>"527"</f>
        <v>527</v>
      </c>
      <c r="B530" s="2" t="s">
        <v>9</v>
      </c>
      <c r="C530" s="2" t="str">
        <f>"1 (1)"</f>
        <v>1 (1)</v>
      </c>
      <c r="D530" s="2" t="s">
        <v>1649</v>
      </c>
      <c r="E530" s="5" t="s">
        <v>1650</v>
      </c>
      <c r="F530" s="3" t="s">
        <v>1651</v>
      </c>
      <c r="G530" s="3" t="s">
        <v>257</v>
      </c>
      <c r="H530" s="2" t="str">
        <f>"2011"</f>
        <v>2011</v>
      </c>
      <c r="I530" t="s">
        <v>14</v>
      </c>
      <c r="J530" t="s">
        <v>15</v>
      </c>
    </row>
    <row r="531" spans="1:10">
      <c r="A531" s="2" t="str">
        <f>"528"</f>
        <v>528</v>
      </c>
      <c r="B531" s="2" t="s">
        <v>9</v>
      </c>
      <c r="C531" s="2" t="str">
        <f>"1 (1)"</f>
        <v>1 (1)</v>
      </c>
      <c r="D531" s="2" t="s">
        <v>1652</v>
      </c>
      <c r="E531" s="5" t="s">
        <v>1653</v>
      </c>
      <c r="F531" s="3" t="s">
        <v>1654</v>
      </c>
      <c r="G531" s="3" t="s">
        <v>257</v>
      </c>
      <c r="H531" s="2" t="str">
        <f>"2012"</f>
        <v>2012</v>
      </c>
      <c r="I531" t="s">
        <v>14</v>
      </c>
      <c r="J531" t="s">
        <v>15</v>
      </c>
    </row>
    <row r="532" spans="1:10">
      <c r="A532" s="2" t="str">
        <f>"529"</f>
        <v>529</v>
      </c>
      <c r="B532" s="2" t="s">
        <v>9</v>
      </c>
      <c r="C532" s="2" t="str">
        <f>"1 (1)"</f>
        <v>1 (1)</v>
      </c>
      <c r="D532" s="2" t="s">
        <v>1655</v>
      </c>
      <c r="E532" s="5" t="s">
        <v>1656</v>
      </c>
      <c r="F532" s="3" t="s">
        <v>1657</v>
      </c>
      <c r="G532" s="3" t="s">
        <v>257</v>
      </c>
      <c r="H532" s="2" t="str">
        <f>"2012"</f>
        <v>2012</v>
      </c>
      <c r="I532" t="s">
        <v>14</v>
      </c>
      <c r="J532" t="s">
        <v>15</v>
      </c>
    </row>
    <row r="533" spans="1:10">
      <c r="A533" s="2" t="str">
        <f>"530"</f>
        <v>530</v>
      </c>
      <c r="B533" s="2" t="s">
        <v>9</v>
      </c>
      <c r="C533" s="2" t="str">
        <f>"1 (1)"</f>
        <v>1 (1)</v>
      </c>
      <c r="D533" s="2" t="s">
        <v>1658</v>
      </c>
      <c r="E533" s="5" t="s">
        <v>1659</v>
      </c>
      <c r="F533" s="3" t="s">
        <v>1660</v>
      </c>
      <c r="G533" s="3" t="s">
        <v>936</v>
      </c>
      <c r="H533" s="2" t="str">
        <f>"2012"</f>
        <v>2012</v>
      </c>
      <c r="I533" t="s">
        <v>14</v>
      </c>
      <c r="J533" t="s">
        <v>15</v>
      </c>
    </row>
    <row r="534" spans="1:10">
      <c r="A534" s="2" t="str">
        <f>"531"</f>
        <v>531</v>
      </c>
      <c r="B534" s="2" t="s">
        <v>9</v>
      </c>
      <c r="C534" s="2" t="str">
        <f>"1 (1)"</f>
        <v>1 (1)</v>
      </c>
      <c r="D534" s="2" t="s">
        <v>1661</v>
      </c>
      <c r="E534" s="5" t="s">
        <v>1662</v>
      </c>
      <c r="F534" s="3" t="s">
        <v>1663</v>
      </c>
      <c r="G534" s="3" t="s">
        <v>1664</v>
      </c>
      <c r="H534" s="2" t="str">
        <f>"2012"</f>
        <v>2012</v>
      </c>
      <c r="I534" t="s">
        <v>14</v>
      </c>
      <c r="J534" t="s">
        <v>15</v>
      </c>
    </row>
    <row r="535" spans="1:10">
      <c r="A535" s="2" t="str">
        <f>"532"</f>
        <v>532</v>
      </c>
      <c r="B535" s="2" t="s">
        <v>9</v>
      </c>
      <c r="C535" s="2" t="str">
        <f>"1 (1)"</f>
        <v>1 (1)</v>
      </c>
      <c r="D535" s="2" t="s">
        <v>1665</v>
      </c>
      <c r="E535" s="5" t="s">
        <v>1666</v>
      </c>
      <c r="F535" s="3" t="s">
        <v>1667</v>
      </c>
      <c r="G535" s="3" t="s">
        <v>1668</v>
      </c>
      <c r="H535" s="2" t="str">
        <f>"2012"</f>
        <v>2012</v>
      </c>
      <c r="I535" t="s">
        <v>14</v>
      </c>
      <c r="J535" t="s">
        <v>15</v>
      </c>
    </row>
    <row r="536" spans="1:10">
      <c r="A536" s="2" t="str">
        <f>"533"</f>
        <v>533</v>
      </c>
      <c r="B536" s="2" t="s">
        <v>9</v>
      </c>
      <c r="C536" s="2" t="str">
        <f>"1 (1)"</f>
        <v>1 (1)</v>
      </c>
      <c r="D536" s="2" t="s">
        <v>1669</v>
      </c>
      <c r="E536" s="5" t="s">
        <v>1670</v>
      </c>
      <c r="F536" s="3" t="s">
        <v>1671</v>
      </c>
      <c r="G536" s="3" t="s">
        <v>968</v>
      </c>
      <c r="H536" s="2" t="str">
        <f>"2012"</f>
        <v>2012</v>
      </c>
      <c r="I536" t="s">
        <v>14</v>
      </c>
      <c r="J536" t="s">
        <v>15</v>
      </c>
    </row>
    <row r="537" spans="1:10">
      <c r="A537" s="2" t="str">
        <f>"534"</f>
        <v>534</v>
      </c>
      <c r="B537" s="2" t="s">
        <v>9</v>
      </c>
      <c r="C537" s="2" t="str">
        <f>"1 (1)"</f>
        <v>1 (1)</v>
      </c>
      <c r="D537" s="2" t="s">
        <v>1672</v>
      </c>
      <c r="E537" s="5" t="s">
        <v>1673</v>
      </c>
      <c r="F537" s="3" t="s">
        <v>1674</v>
      </c>
      <c r="G537" s="3" t="s">
        <v>1675</v>
      </c>
      <c r="H537" s="2" t="str">
        <f>"2012"</f>
        <v>2012</v>
      </c>
      <c r="I537" t="s">
        <v>14</v>
      </c>
      <c r="J537" t="s">
        <v>15</v>
      </c>
    </row>
    <row r="538" spans="1:10">
      <c r="A538" s="2" t="str">
        <f>"535"</f>
        <v>535</v>
      </c>
      <c r="B538" s="2" t="s">
        <v>9</v>
      </c>
      <c r="C538" s="2" t="str">
        <f>"1 (1)"</f>
        <v>1 (1)</v>
      </c>
      <c r="D538" s="2" t="s">
        <v>1676</v>
      </c>
      <c r="E538" s="5" t="s">
        <v>1677</v>
      </c>
      <c r="F538" s="3" t="s">
        <v>1678</v>
      </c>
      <c r="G538" s="3" t="s">
        <v>676</v>
      </c>
      <c r="H538" s="2" t="str">
        <f>"2012"</f>
        <v>2012</v>
      </c>
      <c r="I538" t="s">
        <v>14</v>
      </c>
      <c r="J538" t="s">
        <v>15</v>
      </c>
    </row>
    <row r="539" spans="1:10">
      <c r="A539" s="2" t="str">
        <f>"536"</f>
        <v>536</v>
      </c>
      <c r="B539" s="2" t="s">
        <v>9</v>
      </c>
      <c r="C539" s="2" t="str">
        <f>"1 (1)"</f>
        <v>1 (1)</v>
      </c>
      <c r="D539" s="2" t="s">
        <v>1679</v>
      </c>
      <c r="E539" s="5" t="s">
        <v>1680</v>
      </c>
      <c r="F539" s="3" t="s">
        <v>1681</v>
      </c>
      <c r="G539" s="3" t="s">
        <v>1682</v>
      </c>
      <c r="H539" s="2" t="str">
        <f>"2012"</f>
        <v>2012</v>
      </c>
      <c r="I539" t="s">
        <v>14</v>
      </c>
      <c r="J539" t="s">
        <v>15</v>
      </c>
    </row>
    <row r="540" spans="1:10">
      <c r="A540" s="2" t="str">
        <f>"537"</f>
        <v>537</v>
      </c>
      <c r="B540" s="2" t="s">
        <v>9</v>
      </c>
      <c r="C540" s="2" t="str">
        <f>"1 (1)"</f>
        <v>1 (1)</v>
      </c>
      <c r="D540" s="2" t="s">
        <v>1683</v>
      </c>
      <c r="E540" s="5" t="s">
        <v>1684</v>
      </c>
      <c r="F540" s="3" t="s">
        <v>1685</v>
      </c>
      <c r="G540" s="3" t="s">
        <v>1686</v>
      </c>
      <c r="H540" s="2" t="str">
        <f>"2012"</f>
        <v>2012</v>
      </c>
      <c r="I540" t="s">
        <v>14</v>
      </c>
      <c r="J540" t="s">
        <v>15</v>
      </c>
    </row>
    <row r="541" spans="1:10">
      <c r="A541" s="2" t="str">
        <f>"538"</f>
        <v>538</v>
      </c>
      <c r="B541" s="2" t="s">
        <v>9</v>
      </c>
      <c r="C541" s="2" t="str">
        <f>"1 (1)"</f>
        <v>1 (1)</v>
      </c>
      <c r="D541" s="2" t="s">
        <v>1687</v>
      </c>
      <c r="E541" s="5" t="s">
        <v>1688</v>
      </c>
      <c r="F541" s="3" t="s">
        <v>1685</v>
      </c>
      <c r="G541" s="3" t="s">
        <v>1686</v>
      </c>
      <c r="H541" s="2" t="str">
        <f>"2012"</f>
        <v>2012</v>
      </c>
      <c r="I541" t="s">
        <v>14</v>
      </c>
      <c r="J541" t="s">
        <v>15</v>
      </c>
    </row>
    <row r="542" spans="1:10">
      <c r="A542" s="2" t="str">
        <f>"539"</f>
        <v>539</v>
      </c>
      <c r="B542" s="2" t="s">
        <v>9</v>
      </c>
      <c r="C542" s="2" t="str">
        <f>"1 (1)"</f>
        <v>1 (1)</v>
      </c>
      <c r="D542" s="2" t="s">
        <v>1689</v>
      </c>
      <c r="E542" s="5" t="s">
        <v>1690</v>
      </c>
      <c r="F542" s="3" t="s">
        <v>1691</v>
      </c>
      <c r="G542" s="3" t="s">
        <v>1692</v>
      </c>
      <c r="H542" s="2" t="str">
        <f>"2012"</f>
        <v>2012</v>
      </c>
      <c r="I542" t="s">
        <v>14</v>
      </c>
      <c r="J542" t="s">
        <v>15</v>
      </c>
    </row>
    <row r="543" spans="1:10">
      <c r="A543" s="2" t="str">
        <f>"540"</f>
        <v>540</v>
      </c>
      <c r="B543" s="2" t="s">
        <v>9</v>
      </c>
      <c r="C543" s="2" t="str">
        <f>"1 (1)"</f>
        <v>1 (1)</v>
      </c>
      <c r="D543" s="2" t="s">
        <v>1693</v>
      </c>
      <c r="E543" s="5" t="s">
        <v>1694</v>
      </c>
      <c r="F543" s="3" t="s">
        <v>1695</v>
      </c>
      <c r="G543" s="3" t="s">
        <v>743</v>
      </c>
      <c r="H543" s="2" t="str">
        <f>"2012"</f>
        <v>2012</v>
      </c>
      <c r="I543" t="s">
        <v>14</v>
      </c>
      <c r="J543" t="s">
        <v>15</v>
      </c>
    </row>
    <row r="544" spans="1:10">
      <c r="A544" s="2" t="str">
        <f>"541"</f>
        <v>541</v>
      </c>
      <c r="B544" s="2" t="s">
        <v>9</v>
      </c>
      <c r="C544" s="2" t="str">
        <f>"1 (1)"</f>
        <v>1 (1)</v>
      </c>
      <c r="D544" s="2" t="s">
        <v>1696</v>
      </c>
      <c r="E544" s="5" t="s">
        <v>1697</v>
      </c>
      <c r="F544" s="3" t="s">
        <v>1698</v>
      </c>
      <c r="G544" s="3" t="s">
        <v>743</v>
      </c>
      <c r="H544" s="2" t="str">
        <f>"2012"</f>
        <v>2012</v>
      </c>
      <c r="I544" t="s">
        <v>14</v>
      </c>
      <c r="J544" t="s">
        <v>15</v>
      </c>
    </row>
    <row r="545" spans="1:10">
      <c r="A545" s="2" t="str">
        <f>"542"</f>
        <v>542</v>
      </c>
      <c r="B545" s="2" t="s">
        <v>9</v>
      </c>
      <c r="C545" s="2" t="str">
        <f>"1 (1)"</f>
        <v>1 (1)</v>
      </c>
      <c r="D545" s="2" t="s">
        <v>1699</v>
      </c>
      <c r="E545" s="5" t="s">
        <v>1700</v>
      </c>
      <c r="F545" s="3" t="s">
        <v>1701</v>
      </c>
      <c r="G545" s="3" t="s">
        <v>1702</v>
      </c>
      <c r="H545" s="2" t="str">
        <f>"2012"</f>
        <v>2012</v>
      </c>
      <c r="I545" t="s">
        <v>14</v>
      </c>
      <c r="J545" t="s">
        <v>15</v>
      </c>
    </row>
    <row r="546" spans="1:10">
      <c r="A546" s="2" t="str">
        <f>"543"</f>
        <v>543</v>
      </c>
      <c r="B546" s="2" t="s">
        <v>9</v>
      </c>
      <c r="C546" s="2" t="str">
        <f>"1 (1)"</f>
        <v>1 (1)</v>
      </c>
      <c r="D546" s="2" t="s">
        <v>1703</v>
      </c>
      <c r="E546" s="5" t="s">
        <v>1704</v>
      </c>
      <c r="F546" s="3" t="s">
        <v>1705</v>
      </c>
      <c r="G546" s="3" t="s">
        <v>114</v>
      </c>
      <c r="H546" s="2" t="str">
        <f>"2012"</f>
        <v>2012</v>
      </c>
      <c r="I546" t="s">
        <v>14</v>
      </c>
      <c r="J546" t="s">
        <v>15</v>
      </c>
    </row>
    <row r="547" spans="1:10">
      <c r="A547" s="2" t="str">
        <f>"544"</f>
        <v>544</v>
      </c>
      <c r="B547" s="2" t="s">
        <v>9</v>
      </c>
      <c r="C547" s="2" t="str">
        <f>"1 (1)"</f>
        <v>1 (1)</v>
      </c>
      <c r="D547" s="2" t="s">
        <v>1706</v>
      </c>
      <c r="E547" s="5" t="s">
        <v>1707</v>
      </c>
      <c r="F547" s="3" t="s">
        <v>1708</v>
      </c>
      <c r="G547" s="3" t="s">
        <v>772</v>
      </c>
      <c r="H547" s="2" t="str">
        <f>"2012"</f>
        <v>2012</v>
      </c>
      <c r="I547" t="s">
        <v>14</v>
      </c>
      <c r="J547" t="s">
        <v>15</v>
      </c>
    </row>
    <row r="548" spans="1:10">
      <c r="A548" s="2" t="str">
        <f>"545"</f>
        <v>545</v>
      </c>
      <c r="B548" s="2" t="s">
        <v>9</v>
      </c>
      <c r="C548" s="2" t="str">
        <f>"1 (1)"</f>
        <v>1 (1)</v>
      </c>
      <c r="D548" s="2" t="s">
        <v>1709</v>
      </c>
      <c r="E548" s="5" t="s">
        <v>1710</v>
      </c>
      <c r="F548" s="3" t="s">
        <v>1711</v>
      </c>
      <c r="G548" s="3" t="s">
        <v>1712</v>
      </c>
      <c r="H548" s="2" t="str">
        <f>"2012"</f>
        <v>2012</v>
      </c>
      <c r="I548" t="s">
        <v>14</v>
      </c>
      <c r="J548" t="s">
        <v>15</v>
      </c>
    </row>
    <row r="549" spans="1:10">
      <c r="A549" s="2" t="str">
        <f>"546"</f>
        <v>546</v>
      </c>
      <c r="B549" s="2" t="s">
        <v>9</v>
      </c>
      <c r="C549" s="2" t="str">
        <f>"1 (1)"</f>
        <v>1 (1)</v>
      </c>
      <c r="D549" s="2" t="s">
        <v>1713</v>
      </c>
      <c r="E549" s="5" t="s">
        <v>1714</v>
      </c>
      <c r="F549" s="3" t="s">
        <v>1715</v>
      </c>
      <c r="G549" s="3" t="s">
        <v>1716</v>
      </c>
      <c r="H549" s="2" t="str">
        <f>"2012"</f>
        <v>2012</v>
      </c>
      <c r="I549" t="s">
        <v>14</v>
      </c>
      <c r="J549" t="s">
        <v>15</v>
      </c>
    </row>
    <row r="550" spans="1:10">
      <c r="A550" s="2" t="str">
        <f>"547"</f>
        <v>547</v>
      </c>
      <c r="B550" s="2" t="s">
        <v>9</v>
      </c>
      <c r="C550" s="2" t="str">
        <f>"1 (1)"</f>
        <v>1 (1)</v>
      </c>
      <c r="D550" s="2" t="s">
        <v>1717</v>
      </c>
      <c r="E550" s="5" t="s">
        <v>1718</v>
      </c>
      <c r="F550" s="3" t="s">
        <v>1719</v>
      </c>
      <c r="G550" s="3" t="s">
        <v>130</v>
      </c>
      <c r="H550" s="2" t="str">
        <f>"2012"</f>
        <v>2012</v>
      </c>
      <c r="I550" t="s">
        <v>14</v>
      </c>
      <c r="J550" t="s">
        <v>15</v>
      </c>
    </row>
    <row r="551" spans="1:10">
      <c r="A551" s="2" t="str">
        <f>"548"</f>
        <v>548</v>
      </c>
      <c r="B551" s="2" t="s">
        <v>9</v>
      </c>
      <c r="C551" s="2" t="str">
        <f>"1 (1)"</f>
        <v>1 (1)</v>
      </c>
      <c r="D551" s="2" t="s">
        <v>1720</v>
      </c>
      <c r="E551" s="5" t="s">
        <v>1721</v>
      </c>
      <c r="F551" s="3" t="s">
        <v>1722</v>
      </c>
      <c r="G551" s="3" t="s">
        <v>130</v>
      </c>
      <c r="H551" s="2" t="str">
        <f>"2012"</f>
        <v>2012</v>
      </c>
      <c r="I551" t="s">
        <v>14</v>
      </c>
      <c r="J551" t="s">
        <v>15</v>
      </c>
    </row>
    <row r="552" spans="1:10">
      <c r="A552" s="2" t="str">
        <f>"549"</f>
        <v>549</v>
      </c>
      <c r="B552" s="2" t="s">
        <v>9</v>
      </c>
      <c r="C552" s="2" t="str">
        <f>"1 (1)"</f>
        <v>1 (1)</v>
      </c>
      <c r="D552" s="2" t="s">
        <v>1723</v>
      </c>
      <c r="E552" s="5" t="s">
        <v>1724</v>
      </c>
      <c r="F552" s="3" t="s">
        <v>1725</v>
      </c>
      <c r="G552" s="3" t="s">
        <v>482</v>
      </c>
      <c r="H552" s="2" t="str">
        <f>"2012"</f>
        <v>2012</v>
      </c>
      <c r="I552" t="s">
        <v>14</v>
      </c>
      <c r="J552" t="s">
        <v>15</v>
      </c>
    </row>
    <row r="553" spans="1:10">
      <c r="A553" s="2" t="str">
        <f>"550"</f>
        <v>550</v>
      </c>
      <c r="B553" s="2" t="s">
        <v>9</v>
      </c>
      <c r="C553" s="2" t="str">
        <f>"1 (1)"</f>
        <v>1 (1)</v>
      </c>
      <c r="D553" s="2" t="s">
        <v>1726</v>
      </c>
      <c r="E553" s="5" t="s">
        <v>1727</v>
      </c>
      <c r="F553" s="3" t="s">
        <v>1728</v>
      </c>
      <c r="G553" s="3" t="s">
        <v>1729</v>
      </c>
      <c r="H553" s="2" t="str">
        <f>"2012"</f>
        <v>2012</v>
      </c>
      <c r="I553" t="s">
        <v>14</v>
      </c>
      <c r="J553" t="s">
        <v>15</v>
      </c>
    </row>
    <row r="554" spans="1:10">
      <c r="A554" s="2" t="str">
        <f>"551"</f>
        <v>551</v>
      </c>
      <c r="B554" s="2" t="s">
        <v>9</v>
      </c>
      <c r="C554" s="2" t="str">
        <f>"1 (1)"</f>
        <v>1 (1)</v>
      </c>
      <c r="D554" s="2" t="s">
        <v>1730</v>
      </c>
      <c r="E554" s="5" t="s">
        <v>1731</v>
      </c>
      <c r="F554" s="3" t="s">
        <v>1732</v>
      </c>
      <c r="G554" s="3" t="s">
        <v>1733</v>
      </c>
      <c r="H554" s="2" t="str">
        <f>"2012"</f>
        <v>2012</v>
      </c>
      <c r="I554" t="s">
        <v>14</v>
      </c>
      <c r="J554" t="s">
        <v>15</v>
      </c>
    </row>
    <row r="555" spans="1:10">
      <c r="A555" s="2" t="str">
        <f>"552"</f>
        <v>552</v>
      </c>
      <c r="B555" s="2" t="s">
        <v>9</v>
      </c>
      <c r="C555" s="2" t="str">
        <f>"1 (1)"</f>
        <v>1 (1)</v>
      </c>
      <c r="D555" s="2" t="s">
        <v>1734</v>
      </c>
      <c r="E555" s="5" t="s">
        <v>1735</v>
      </c>
      <c r="F555" s="3" t="s">
        <v>1736</v>
      </c>
      <c r="G555" s="3" t="s">
        <v>840</v>
      </c>
      <c r="H555" s="2" t="str">
        <f>"2012"</f>
        <v>2012</v>
      </c>
      <c r="I555" t="s">
        <v>14</v>
      </c>
      <c r="J555" t="s">
        <v>15</v>
      </c>
    </row>
    <row r="556" spans="1:10">
      <c r="A556" s="2" t="str">
        <f>"553"</f>
        <v>553</v>
      </c>
      <c r="B556" s="2" t="s">
        <v>9</v>
      </c>
      <c r="C556" s="2" t="str">
        <f>"1 (1)"</f>
        <v>1 (1)</v>
      </c>
      <c r="D556" s="2" t="s">
        <v>1737</v>
      </c>
      <c r="E556" s="5" t="s">
        <v>1738</v>
      </c>
      <c r="F556" s="3" t="s">
        <v>1739</v>
      </c>
      <c r="G556" s="3" t="s">
        <v>876</v>
      </c>
      <c r="H556" s="2" t="str">
        <f>"2012"</f>
        <v>2012</v>
      </c>
      <c r="I556" t="s">
        <v>14</v>
      </c>
      <c r="J556" t="s">
        <v>15</v>
      </c>
    </row>
    <row r="557" spans="1:10">
      <c r="A557" s="2" t="str">
        <f>"554"</f>
        <v>554</v>
      </c>
      <c r="B557" s="2" t="s">
        <v>9</v>
      </c>
      <c r="C557" s="2" t="str">
        <f>"1 (1)"</f>
        <v>1 (1)</v>
      </c>
      <c r="D557" s="2" t="s">
        <v>1740</v>
      </c>
      <c r="E557" s="5" t="s">
        <v>1741</v>
      </c>
      <c r="F557" s="3" t="s">
        <v>1742</v>
      </c>
      <c r="G557" s="3" t="s">
        <v>150</v>
      </c>
      <c r="H557" s="2" t="str">
        <f>"2011"</f>
        <v>2011</v>
      </c>
      <c r="I557" t="s">
        <v>14</v>
      </c>
      <c r="J557" t="s">
        <v>15</v>
      </c>
    </row>
    <row r="558" spans="1:10">
      <c r="A558" s="2" t="str">
        <f>"555"</f>
        <v>555</v>
      </c>
      <c r="B558" s="2" t="s">
        <v>9</v>
      </c>
      <c r="C558" s="2" t="str">
        <f>"1 (1)"</f>
        <v>1 (1)</v>
      </c>
      <c r="D558" s="2" t="s">
        <v>1743</v>
      </c>
      <c r="E558" s="5" t="s">
        <v>1744</v>
      </c>
      <c r="F558" s="3" t="s">
        <v>1742</v>
      </c>
      <c r="G558" s="3" t="s">
        <v>150</v>
      </c>
      <c r="H558" s="2" t="str">
        <f>"2011"</f>
        <v>2011</v>
      </c>
      <c r="I558" t="s">
        <v>14</v>
      </c>
      <c r="J558" t="s">
        <v>15</v>
      </c>
    </row>
    <row r="559" spans="1:10">
      <c r="A559" s="2" t="str">
        <f>"556"</f>
        <v>556</v>
      </c>
      <c r="B559" s="2" t="s">
        <v>9</v>
      </c>
      <c r="C559" s="2" t="str">
        <f>"1 (1)"</f>
        <v>1 (1)</v>
      </c>
      <c r="D559" s="2" t="s">
        <v>1745</v>
      </c>
      <c r="E559" s="5" t="s">
        <v>1746</v>
      </c>
      <c r="F559" s="3" t="s">
        <v>1742</v>
      </c>
      <c r="G559" s="3" t="s">
        <v>150</v>
      </c>
      <c r="H559" s="2" t="str">
        <f>"2012"</f>
        <v>2012</v>
      </c>
      <c r="I559" t="s">
        <v>14</v>
      </c>
      <c r="J559" t="s">
        <v>15</v>
      </c>
    </row>
    <row r="560" spans="1:10">
      <c r="A560" s="2" t="str">
        <f>"557"</f>
        <v>557</v>
      </c>
      <c r="B560" s="2" t="s">
        <v>9</v>
      </c>
      <c r="C560" s="2" t="str">
        <f>"1 (1)"</f>
        <v>1 (1)</v>
      </c>
      <c r="D560" s="2" t="s">
        <v>1747</v>
      </c>
      <c r="E560" s="5" t="s">
        <v>1748</v>
      </c>
      <c r="F560" s="3" t="s">
        <v>1749</v>
      </c>
      <c r="G560" s="3" t="s">
        <v>1750</v>
      </c>
      <c r="H560" s="2" t="str">
        <f>"2012"</f>
        <v>2012</v>
      </c>
      <c r="I560" t="s">
        <v>14</v>
      </c>
      <c r="J560" t="s">
        <v>15</v>
      </c>
    </row>
    <row r="561" spans="1:10">
      <c r="A561" s="2" t="str">
        <f>"558"</f>
        <v>558</v>
      </c>
      <c r="B561" s="2" t="s">
        <v>9</v>
      </c>
      <c r="C561" s="2" t="str">
        <f>"1 (1)"</f>
        <v>1 (1)</v>
      </c>
      <c r="D561" s="2" t="s">
        <v>1751</v>
      </c>
      <c r="E561" s="5" t="s">
        <v>1752</v>
      </c>
      <c r="F561" s="3" t="s">
        <v>1753</v>
      </c>
      <c r="G561" s="3" t="s">
        <v>1754</v>
      </c>
      <c r="H561" s="2" t="str">
        <f>"2012"</f>
        <v>2012</v>
      </c>
      <c r="I561" t="s">
        <v>14</v>
      </c>
      <c r="J561" t="s">
        <v>15</v>
      </c>
    </row>
    <row r="562" spans="1:10">
      <c r="A562" s="2" t="str">
        <f>"559"</f>
        <v>559</v>
      </c>
      <c r="B562" s="2" t="s">
        <v>9</v>
      </c>
      <c r="C562" s="2" t="str">
        <f>"1 (1)"</f>
        <v>1 (1)</v>
      </c>
      <c r="D562" s="2" t="s">
        <v>1755</v>
      </c>
      <c r="E562" s="5" t="s">
        <v>1756</v>
      </c>
      <c r="F562" s="3" t="s">
        <v>1757</v>
      </c>
      <c r="G562" s="3" t="s">
        <v>1758</v>
      </c>
      <c r="H562" s="2" t="str">
        <f>"2012"</f>
        <v>2012</v>
      </c>
      <c r="I562" t="s">
        <v>14</v>
      </c>
      <c r="J562" t="s">
        <v>15</v>
      </c>
    </row>
    <row r="563" spans="1:10">
      <c r="A563" s="2" t="str">
        <f>"560"</f>
        <v>560</v>
      </c>
      <c r="B563" s="2" t="s">
        <v>9</v>
      </c>
      <c r="C563" s="2" t="str">
        <f>"1 (1)"</f>
        <v>1 (1)</v>
      </c>
      <c r="D563" s="2" t="s">
        <v>1759</v>
      </c>
      <c r="E563" s="5" t="s">
        <v>1760</v>
      </c>
      <c r="F563" s="3" t="s">
        <v>1761</v>
      </c>
      <c r="G563" s="3" t="s">
        <v>1758</v>
      </c>
      <c r="H563" s="2" t="str">
        <f>"2012"</f>
        <v>2012</v>
      </c>
      <c r="I563" t="s">
        <v>14</v>
      </c>
      <c r="J563" t="s">
        <v>15</v>
      </c>
    </row>
    <row r="564" spans="1:10">
      <c r="A564" s="2" t="str">
        <f>"561"</f>
        <v>561</v>
      </c>
      <c r="B564" s="2" t="s">
        <v>9</v>
      </c>
      <c r="C564" s="2" t="str">
        <f>"1 (1)"</f>
        <v>1 (1)</v>
      </c>
      <c r="D564" s="2" t="s">
        <v>1762</v>
      </c>
      <c r="E564" s="5" t="s">
        <v>1763</v>
      </c>
      <c r="F564" s="3" t="s">
        <v>1764</v>
      </c>
      <c r="G564" s="3" t="s">
        <v>1765</v>
      </c>
      <c r="H564" s="2" t="str">
        <f>"2012"</f>
        <v>2012</v>
      </c>
      <c r="I564" t="s">
        <v>14</v>
      </c>
      <c r="J564" t="s">
        <v>15</v>
      </c>
    </row>
    <row r="565" spans="1:10">
      <c r="A565" s="2" t="str">
        <f>"562"</f>
        <v>562</v>
      </c>
      <c r="B565" s="2" t="s">
        <v>9</v>
      </c>
      <c r="C565" s="2" t="str">
        <f>"1 (1)"</f>
        <v>1 (1)</v>
      </c>
      <c r="D565" s="2" t="s">
        <v>1766</v>
      </c>
      <c r="E565" s="5" t="s">
        <v>1767</v>
      </c>
      <c r="F565" s="3" t="s">
        <v>1768</v>
      </c>
      <c r="G565" s="3" t="s">
        <v>775</v>
      </c>
      <c r="H565" s="2" t="str">
        <f>"2012"</f>
        <v>2012</v>
      </c>
      <c r="I565" t="s">
        <v>14</v>
      </c>
      <c r="J565" t="s">
        <v>15</v>
      </c>
    </row>
    <row r="566" spans="1:10">
      <c r="A566" s="2" t="str">
        <f>"563"</f>
        <v>563</v>
      </c>
      <c r="B566" s="2" t="s">
        <v>9</v>
      </c>
      <c r="C566" s="2" t="str">
        <f>"1 (1)"</f>
        <v>1 (1)</v>
      </c>
      <c r="D566" s="2" t="s">
        <v>1769</v>
      </c>
      <c r="E566" s="5" t="s">
        <v>1770</v>
      </c>
      <c r="F566" s="3" t="s">
        <v>1771</v>
      </c>
      <c r="G566" s="3" t="s">
        <v>426</v>
      </c>
      <c r="H566" s="2" t="str">
        <f>"2012"</f>
        <v>2012</v>
      </c>
      <c r="I566" t="s">
        <v>14</v>
      </c>
      <c r="J566" t="s">
        <v>15</v>
      </c>
    </row>
    <row r="567" spans="1:10">
      <c r="A567" s="2" t="str">
        <f>"564"</f>
        <v>564</v>
      </c>
      <c r="B567" s="2" t="s">
        <v>9</v>
      </c>
      <c r="C567" s="2" t="str">
        <f>"1 (1)"</f>
        <v>1 (1)</v>
      </c>
      <c r="D567" s="2" t="s">
        <v>1772</v>
      </c>
      <c r="E567" s="5" t="s">
        <v>1773</v>
      </c>
      <c r="F567" s="3" t="s">
        <v>1774</v>
      </c>
      <c r="G567" s="3" t="s">
        <v>426</v>
      </c>
      <c r="H567" s="2" t="str">
        <f>"2012"</f>
        <v>2012</v>
      </c>
      <c r="I567" t="s">
        <v>14</v>
      </c>
      <c r="J567" t="s">
        <v>15</v>
      </c>
    </row>
    <row r="568" spans="1:10">
      <c r="A568" s="2" t="str">
        <f>"565"</f>
        <v>565</v>
      </c>
      <c r="B568" s="2" t="s">
        <v>9</v>
      </c>
      <c r="C568" s="2" t="str">
        <f>"1 (1)"</f>
        <v>1 (1)</v>
      </c>
      <c r="D568" s="2" t="s">
        <v>1775</v>
      </c>
      <c r="E568" s="5" t="s">
        <v>1776</v>
      </c>
      <c r="F568" s="3" t="s">
        <v>1777</v>
      </c>
      <c r="G568" s="3" t="s">
        <v>426</v>
      </c>
      <c r="H568" s="2" t="str">
        <f>"2012"</f>
        <v>2012</v>
      </c>
      <c r="I568" t="s">
        <v>14</v>
      </c>
      <c r="J568" t="s">
        <v>15</v>
      </c>
    </row>
    <row r="569" spans="1:10">
      <c r="A569" s="2" t="str">
        <f>"566"</f>
        <v>566</v>
      </c>
      <c r="B569" s="2" t="s">
        <v>9</v>
      </c>
      <c r="C569" s="2" t="str">
        <f>"1 (1)"</f>
        <v>1 (1)</v>
      </c>
      <c r="D569" s="2" t="s">
        <v>1778</v>
      </c>
      <c r="E569" s="5" t="s">
        <v>1779</v>
      </c>
      <c r="F569" s="3" t="s">
        <v>1780</v>
      </c>
      <c r="G569" s="3" t="s">
        <v>426</v>
      </c>
      <c r="H569" s="2" t="str">
        <f>"2011"</f>
        <v>2011</v>
      </c>
      <c r="I569" t="s">
        <v>14</v>
      </c>
      <c r="J569" t="s">
        <v>15</v>
      </c>
    </row>
    <row r="570" spans="1:10">
      <c r="A570" s="2" t="str">
        <f>"567"</f>
        <v>567</v>
      </c>
      <c r="B570" s="2" t="s">
        <v>9</v>
      </c>
      <c r="C570" s="2" t="str">
        <f>"1 (1)"</f>
        <v>1 (1)</v>
      </c>
      <c r="D570" s="2" t="s">
        <v>1781</v>
      </c>
      <c r="E570" s="5" t="s">
        <v>1782</v>
      </c>
      <c r="F570" s="3" t="s">
        <v>1783</v>
      </c>
      <c r="G570" s="3" t="s">
        <v>426</v>
      </c>
      <c r="H570" s="2" t="str">
        <f>"2011"</f>
        <v>2011</v>
      </c>
      <c r="I570" t="s">
        <v>14</v>
      </c>
      <c r="J570" t="s">
        <v>15</v>
      </c>
    </row>
    <row r="571" spans="1:10">
      <c r="A571" s="2" t="str">
        <f>"568"</f>
        <v>568</v>
      </c>
      <c r="B571" s="2" t="s">
        <v>9</v>
      </c>
      <c r="C571" s="2" t="str">
        <f>"1 (1)"</f>
        <v>1 (1)</v>
      </c>
      <c r="D571" s="2" t="s">
        <v>1784</v>
      </c>
      <c r="E571" s="5" t="s">
        <v>1785</v>
      </c>
      <c r="F571" s="3" t="s">
        <v>1786</v>
      </c>
      <c r="G571" s="3" t="s">
        <v>426</v>
      </c>
      <c r="H571" s="2" t="str">
        <f>"2011"</f>
        <v>2011</v>
      </c>
      <c r="I571" t="s">
        <v>14</v>
      </c>
      <c r="J571" t="s">
        <v>15</v>
      </c>
    </row>
    <row r="572" spans="1:10">
      <c r="A572" s="2" t="str">
        <f>"569"</f>
        <v>569</v>
      </c>
      <c r="B572" s="2" t="s">
        <v>9</v>
      </c>
      <c r="C572" s="2" t="str">
        <f>"1 (1)"</f>
        <v>1 (1)</v>
      </c>
      <c r="D572" s="2" t="s">
        <v>1787</v>
      </c>
      <c r="E572" s="5" t="s">
        <v>431</v>
      </c>
      <c r="F572" s="3" t="s">
        <v>432</v>
      </c>
      <c r="G572" s="3" t="s">
        <v>426</v>
      </c>
      <c r="H572" s="2" t="str">
        <f>"2012"</f>
        <v>2012</v>
      </c>
      <c r="I572" t="s">
        <v>14</v>
      </c>
      <c r="J572" t="s">
        <v>15</v>
      </c>
    </row>
    <row r="573" spans="1:10">
      <c r="A573" s="2" t="str">
        <f>"570"</f>
        <v>570</v>
      </c>
      <c r="B573" s="2" t="s">
        <v>9</v>
      </c>
      <c r="C573" s="2" t="str">
        <f>"1 (1)"</f>
        <v>1 (1)</v>
      </c>
      <c r="D573" s="2" t="s">
        <v>1788</v>
      </c>
      <c r="E573" s="5" t="s">
        <v>1789</v>
      </c>
      <c r="F573" s="3" t="s">
        <v>1790</v>
      </c>
      <c r="G573" s="3" t="s">
        <v>426</v>
      </c>
      <c r="H573" s="2" t="str">
        <f>"2012"</f>
        <v>2012</v>
      </c>
      <c r="I573" t="s">
        <v>14</v>
      </c>
      <c r="J573" t="s">
        <v>15</v>
      </c>
    </row>
    <row r="574" spans="1:10">
      <c r="A574" s="2" t="str">
        <f>"571"</f>
        <v>571</v>
      </c>
      <c r="B574" s="2" t="s">
        <v>9</v>
      </c>
      <c r="C574" s="2" t="str">
        <f>"1 (1)"</f>
        <v>1 (1)</v>
      </c>
      <c r="D574" s="2" t="s">
        <v>1791</v>
      </c>
      <c r="E574" s="5" t="s">
        <v>1792</v>
      </c>
      <c r="F574" s="3" t="s">
        <v>1793</v>
      </c>
      <c r="G574" s="3" t="s">
        <v>426</v>
      </c>
      <c r="H574" s="2" t="str">
        <f>"2012"</f>
        <v>2012</v>
      </c>
      <c r="I574" t="s">
        <v>14</v>
      </c>
      <c r="J574" t="s">
        <v>15</v>
      </c>
    </row>
    <row r="575" spans="1:10">
      <c r="A575" s="2" t="str">
        <f>"572"</f>
        <v>572</v>
      </c>
      <c r="B575" s="2" t="s">
        <v>9</v>
      </c>
      <c r="C575" s="2" t="str">
        <f>"1 (1)"</f>
        <v>1 (1)</v>
      </c>
      <c r="D575" s="2" t="s">
        <v>1794</v>
      </c>
      <c r="E575" s="5" t="s">
        <v>1795</v>
      </c>
      <c r="F575" s="3" t="s">
        <v>1790</v>
      </c>
      <c r="G575" s="3" t="s">
        <v>426</v>
      </c>
      <c r="H575" s="2" t="str">
        <f>"2011"</f>
        <v>2011</v>
      </c>
      <c r="I575" t="s">
        <v>14</v>
      </c>
      <c r="J575" t="s">
        <v>15</v>
      </c>
    </row>
    <row r="576" spans="1:10">
      <c r="A576" s="2" t="str">
        <f>"573"</f>
        <v>573</v>
      </c>
      <c r="B576" s="2" t="s">
        <v>9</v>
      </c>
      <c r="C576" s="2" t="str">
        <f>"1 (1)"</f>
        <v>1 (1)</v>
      </c>
      <c r="D576" s="2" t="s">
        <v>1796</v>
      </c>
      <c r="E576" s="5" t="s">
        <v>1797</v>
      </c>
      <c r="F576" s="3" t="s">
        <v>1798</v>
      </c>
      <c r="G576" s="3" t="s">
        <v>426</v>
      </c>
      <c r="H576" s="2" t="str">
        <f>"2012"</f>
        <v>2012</v>
      </c>
      <c r="I576" t="s">
        <v>14</v>
      </c>
      <c r="J576" t="s">
        <v>15</v>
      </c>
    </row>
    <row r="577" spans="1:10">
      <c r="A577" s="2" t="str">
        <f>"574"</f>
        <v>574</v>
      </c>
      <c r="B577" s="2" t="s">
        <v>9</v>
      </c>
      <c r="C577" s="2" t="str">
        <f>"1 (1)"</f>
        <v>1 (1)</v>
      </c>
      <c r="D577" s="2" t="s">
        <v>1799</v>
      </c>
      <c r="E577" s="5" t="s">
        <v>1800</v>
      </c>
      <c r="F577" s="3" t="s">
        <v>1801</v>
      </c>
      <c r="G577" s="3" t="s">
        <v>426</v>
      </c>
      <c r="H577" s="2" t="str">
        <f>"2012"</f>
        <v>2012</v>
      </c>
      <c r="I577" t="s">
        <v>14</v>
      </c>
      <c r="J577" t="s">
        <v>15</v>
      </c>
    </row>
    <row r="578" spans="1:10">
      <c r="A578" s="2" t="str">
        <f>"575"</f>
        <v>575</v>
      </c>
      <c r="B578" s="2" t="s">
        <v>9</v>
      </c>
      <c r="C578" s="2" t="str">
        <f>"1 (1)"</f>
        <v>1 (1)</v>
      </c>
      <c r="D578" s="2" t="s">
        <v>1802</v>
      </c>
      <c r="E578" s="5" t="s">
        <v>1803</v>
      </c>
      <c r="F578" s="3" t="s">
        <v>1804</v>
      </c>
      <c r="G578" s="3" t="s">
        <v>426</v>
      </c>
      <c r="H578" s="2" t="str">
        <f>"2012"</f>
        <v>2012</v>
      </c>
      <c r="I578" t="s">
        <v>14</v>
      </c>
      <c r="J578" t="s">
        <v>15</v>
      </c>
    </row>
    <row r="579" spans="1:10">
      <c r="A579" s="2" t="str">
        <f>"576"</f>
        <v>576</v>
      </c>
      <c r="B579" s="2" t="s">
        <v>9</v>
      </c>
      <c r="C579" s="2" t="str">
        <f>"1 (1)"</f>
        <v>1 (1)</v>
      </c>
      <c r="D579" s="2" t="s">
        <v>1805</v>
      </c>
      <c r="E579" s="5" t="s">
        <v>1806</v>
      </c>
      <c r="F579" s="3" t="s">
        <v>1807</v>
      </c>
      <c r="G579" s="3" t="s">
        <v>426</v>
      </c>
      <c r="H579" s="2" t="str">
        <f>"2012"</f>
        <v>2012</v>
      </c>
      <c r="I579" t="s">
        <v>14</v>
      </c>
      <c r="J579" t="s">
        <v>15</v>
      </c>
    </row>
    <row r="580" spans="1:10">
      <c r="A580" s="2" t="str">
        <f>"577"</f>
        <v>577</v>
      </c>
      <c r="B580" s="2" t="s">
        <v>9</v>
      </c>
      <c r="C580" s="2" t="str">
        <f>"1 (1)"</f>
        <v>1 (1)</v>
      </c>
      <c r="D580" s="2" t="s">
        <v>1808</v>
      </c>
      <c r="E580" s="5" t="s">
        <v>1809</v>
      </c>
      <c r="F580" s="3" t="s">
        <v>1810</v>
      </c>
      <c r="G580" s="3" t="s">
        <v>426</v>
      </c>
      <c r="H580" s="2" t="str">
        <f>"2012"</f>
        <v>2012</v>
      </c>
      <c r="I580" t="s">
        <v>14</v>
      </c>
      <c r="J580" t="s">
        <v>15</v>
      </c>
    </row>
    <row r="581" spans="1:10">
      <c r="A581" s="2" t="str">
        <f>"578"</f>
        <v>578</v>
      </c>
      <c r="B581" s="2" t="s">
        <v>9</v>
      </c>
      <c r="C581" s="2" t="str">
        <f>"1 (1)"</f>
        <v>1 (1)</v>
      </c>
      <c r="D581" s="2" t="s">
        <v>1811</v>
      </c>
      <c r="E581" s="5" t="s">
        <v>1812</v>
      </c>
      <c r="F581" s="3" t="s">
        <v>1813</v>
      </c>
      <c r="G581" s="3" t="s">
        <v>426</v>
      </c>
      <c r="H581" s="2" t="str">
        <f>"2012"</f>
        <v>2012</v>
      </c>
      <c r="I581" t="s">
        <v>14</v>
      </c>
      <c r="J581" t="s">
        <v>15</v>
      </c>
    </row>
    <row r="582" spans="1:10">
      <c r="A582" s="2" t="str">
        <f>"579"</f>
        <v>579</v>
      </c>
      <c r="B582" s="2" t="s">
        <v>9</v>
      </c>
      <c r="C582" s="2" t="str">
        <f>"1 (1)"</f>
        <v>1 (1)</v>
      </c>
      <c r="D582" s="2" t="s">
        <v>1814</v>
      </c>
      <c r="E582" s="5" t="s">
        <v>1815</v>
      </c>
      <c r="F582" s="3" t="s">
        <v>1816</v>
      </c>
      <c r="G582" s="3" t="s">
        <v>426</v>
      </c>
      <c r="H582" s="2" t="str">
        <f>"2012"</f>
        <v>2012</v>
      </c>
      <c r="I582" t="s">
        <v>14</v>
      </c>
      <c r="J582" t="s">
        <v>15</v>
      </c>
    </row>
    <row r="583" spans="1:10">
      <c r="A583" s="2" t="str">
        <f>"580"</f>
        <v>580</v>
      </c>
      <c r="B583" s="2" t="s">
        <v>9</v>
      </c>
      <c r="C583" s="2" t="str">
        <f>"1 (1)"</f>
        <v>1 (1)</v>
      </c>
      <c r="D583" s="2" t="s">
        <v>1817</v>
      </c>
      <c r="E583" s="5" t="s">
        <v>1818</v>
      </c>
      <c r="F583" s="3" t="s">
        <v>1819</v>
      </c>
      <c r="G583" s="3" t="s">
        <v>426</v>
      </c>
      <c r="H583" s="2" t="str">
        <f>"2012"</f>
        <v>2012</v>
      </c>
      <c r="I583" t="s">
        <v>14</v>
      </c>
      <c r="J583" t="s">
        <v>15</v>
      </c>
    </row>
    <row r="584" spans="1:10">
      <c r="A584" s="2" t="str">
        <f>"581"</f>
        <v>581</v>
      </c>
      <c r="B584" s="2" t="s">
        <v>9</v>
      </c>
      <c r="C584" s="2" t="str">
        <f>"1 (1)"</f>
        <v>1 (1)</v>
      </c>
      <c r="D584" s="2" t="s">
        <v>1820</v>
      </c>
      <c r="E584" s="5" t="s">
        <v>428</v>
      </c>
      <c r="F584" s="3" t="s">
        <v>429</v>
      </c>
      <c r="G584" s="3" t="s">
        <v>426</v>
      </c>
      <c r="H584" s="2" t="str">
        <f>"2012"</f>
        <v>2012</v>
      </c>
      <c r="I584" t="s">
        <v>14</v>
      </c>
      <c r="J584" t="s">
        <v>15</v>
      </c>
    </row>
    <row r="585" spans="1:10">
      <c r="A585" s="2" t="str">
        <f>"582"</f>
        <v>582</v>
      </c>
      <c r="B585" s="2" t="s">
        <v>9</v>
      </c>
      <c r="C585" s="2" t="str">
        <f>"1 (1)"</f>
        <v>1 (1)</v>
      </c>
      <c r="D585" s="2" t="s">
        <v>1821</v>
      </c>
      <c r="E585" s="5" t="s">
        <v>1822</v>
      </c>
      <c r="F585" s="3" t="s">
        <v>1823</v>
      </c>
      <c r="G585" s="3" t="s">
        <v>1824</v>
      </c>
      <c r="H585" s="2" t="str">
        <f>"2012"</f>
        <v>2012</v>
      </c>
      <c r="I585" t="s">
        <v>14</v>
      </c>
      <c r="J585" t="s">
        <v>15</v>
      </c>
    </row>
    <row r="586" spans="1:10">
      <c r="A586" s="2" t="str">
        <f>"583"</f>
        <v>583</v>
      </c>
      <c r="B586" s="2" t="s">
        <v>9</v>
      </c>
      <c r="C586" s="2" t="str">
        <f>"1 (1)"</f>
        <v>1 (1)</v>
      </c>
      <c r="D586" s="2" t="s">
        <v>1825</v>
      </c>
      <c r="E586" s="5" t="s">
        <v>1826</v>
      </c>
      <c r="F586" s="3" t="s">
        <v>1827</v>
      </c>
      <c r="G586" s="3" t="s">
        <v>1824</v>
      </c>
      <c r="H586" s="2" t="str">
        <f>"2012"</f>
        <v>2012</v>
      </c>
      <c r="I586" t="s">
        <v>14</v>
      </c>
      <c r="J586" t="s">
        <v>15</v>
      </c>
    </row>
    <row r="587" spans="1:10">
      <c r="A587" s="2" t="str">
        <f>"584"</f>
        <v>584</v>
      </c>
      <c r="B587" s="2" t="s">
        <v>9</v>
      </c>
      <c r="C587" s="2" t="str">
        <f>"1 (1)"</f>
        <v>1 (1)</v>
      </c>
      <c r="D587" s="2" t="s">
        <v>1828</v>
      </c>
      <c r="E587" s="5" t="s">
        <v>1829</v>
      </c>
      <c r="F587" s="3" t="s">
        <v>1830</v>
      </c>
      <c r="G587" s="3" t="s">
        <v>1831</v>
      </c>
      <c r="H587" s="2" t="str">
        <f>"2012"</f>
        <v>2012</v>
      </c>
      <c r="I587" t="s">
        <v>14</v>
      </c>
      <c r="J587" t="s">
        <v>15</v>
      </c>
    </row>
    <row r="588" spans="1:10">
      <c r="A588" s="2" t="str">
        <f>"585"</f>
        <v>585</v>
      </c>
      <c r="B588" s="2" t="s">
        <v>9</v>
      </c>
      <c r="C588" s="2" t="str">
        <f>"1 (1)"</f>
        <v>1 (1)</v>
      </c>
      <c r="D588" s="2" t="s">
        <v>1832</v>
      </c>
      <c r="E588" s="5" t="s">
        <v>1833</v>
      </c>
      <c r="F588" s="3" t="s">
        <v>1834</v>
      </c>
      <c r="G588" s="3" t="s">
        <v>1831</v>
      </c>
      <c r="H588" s="2" t="str">
        <f>"2012"</f>
        <v>2012</v>
      </c>
      <c r="I588" t="s">
        <v>14</v>
      </c>
      <c r="J588" t="s">
        <v>15</v>
      </c>
    </row>
    <row r="589" spans="1:10">
      <c r="A589" s="2" t="str">
        <f>"586"</f>
        <v>586</v>
      </c>
      <c r="B589" s="2" t="s">
        <v>9</v>
      </c>
      <c r="C589" s="2" t="str">
        <f>"1 (1)"</f>
        <v>1 (1)</v>
      </c>
      <c r="D589" s="2" t="s">
        <v>1835</v>
      </c>
      <c r="E589" s="5" t="s">
        <v>1836</v>
      </c>
      <c r="F589" s="3" t="s">
        <v>1837</v>
      </c>
      <c r="G589" s="3" t="s">
        <v>1824</v>
      </c>
      <c r="H589" s="2" t="str">
        <f>"2012"</f>
        <v>2012</v>
      </c>
      <c r="I589" t="s">
        <v>14</v>
      </c>
      <c r="J589" t="s">
        <v>15</v>
      </c>
    </row>
    <row r="590" spans="1:10">
      <c r="A590" s="2" t="str">
        <f>"587"</f>
        <v>587</v>
      </c>
      <c r="B590" s="2" t="s">
        <v>9</v>
      </c>
      <c r="C590" s="2" t="str">
        <f>"1 (1)"</f>
        <v>1 (1)</v>
      </c>
      <c r="D590" s="2" t="s">
        <v>1838</v>
      </c>
      <c r="E590" s="5" t="s">
        <v>1839</v>
      </c>
      <c r="F590" s="3" t="s">
        <v>188</v>
      </c>
      <c r="G590" s="3" t="s">
        <v>1824</v>
      </c>
      <c r="H590" s="2" t="str">
        <f>"2012"</f>
        <v>2012</v>
      </c>
      <c r="I590" t="s">
        <v>14</v>
      </c>
      <c r="J590" t="s">
        <v>15</v>
      </c>
    </row>
    <row r="591" spans="1:10">
      <c r="A591" s="2" t="str">
        <f>"588"</f>
        <v>588</v>
      </c>
      <c r="B591" s="2" t="s">
        <v>9</v>
      </c>
      <c r="C591" s="2" t="str">
        <f>"1 (1)"</f>
        <v>1 (1)</v>
      </c>
      <c r="D591" s="2" t="s">
        <v>1840</v>
      </c>
      <c r="E591" s="5" t="s">
        <v>1841</v>
      </c>
      <c r="F591" s="3" t="s">
        <v>1842</v>
      </c>
      <c r="G591" s="3" t="s">
        <v>1824</v>
      </c>
      <c r="H591" s="2" t="str">
        <f>"2012"</f>
        <v>2012</v>
      </c>
      <c r="I591" t="s">
        <v>14</v>
      </c>
      <c r="J591" t="s">
        <v>15</v>
      </c>
    </row>
    <row r="592" spans="1:10">
      <c r="A592" s="2" t="str">
        <f>"589"</f>
        <v>589</v>
      </c>
      <c r="B592" s="2" t="s">
        <v>9</v>
      </c>
      <c r="C592" s="2" t="str">
        <f>"1 (1)"</f>
        <v>1 (1)</v>
      </c>
      <c r="D592" s="2" t="s">
        <v>1843</v>
      </c>
      <c r="E592" s="5" t="s">
        <v>1844</v>
      </c>
      <c r="F592" s="3" t="s">
        <v>1845</v>
      </c>
      <c r="G592" s="3" t="s">
        <v>1824</v>
      </c>
      <c r="H592" s="2" t="str">
        <f>"2012"</f>
        <v>2012</v>
      </c>
      <c r="I592" t="s">
        <v>14</v>
      </c>
      <c r="J592" t="s">
        <v>15</v>
      </c>
    </row>
    <row r="593" spans="1:10">
      <c r="A593" s="2" t="str">
        <f>"590"</f>
        <v>590</v>
      </c>
      <c r="B593" s="2" t="s">
        <v>9</v>
      </c>
      <c r="C593" s="2" t="str">
        <f>"1 (1)"</f>
        <v>1 (1)</v>
      </c>
      <c r="D593" s="2" t="s">
        <v>1846</v>
      </c>
      <c r="E593" s="5" t="s">
        <v>1847</v>
      </c>
      <c r="F593" s="3" t="s">
        <v>1848</v>
      </c>
      <c r="G593" s="3" t="s">
        <v>1824</v>
      </c>
      <c r="H593" s="2" t="str">
        <f>"2012"</f>
        <v>2012</v>
      </c>
      <c r="I593" t="s">
        <v>14</v>
      </c>
      <c r="J593" t="s">
        <v>15</v>
      </c>
    </row>
    <row r="594" spans="1:10">
      <c r="A594" s="2" t="str">
        <f>"591"</f>
        <v>591</v>
      </c>
      <c r="B594" s="2" t="s">
        <v>9</v>
      </c>
      <c r="C594" s="2" t="str">
        <f>"1 (1)"</f>
        <v>1 (1)</v>
      </c>
      <c r="D594" s="2" t="s">
        <v>1849</v>
      </c>
      <c r="E594" s="5" t="s">
        <v>1850</v>
      </c>
      <c r="F594" s="3" t="s">
        <v>1851</v>
      </c>
      <c r="G594" s="3" t="s">
        <v>1824</v>
      </c>
      <c r="H594" s="2" t="str">
        <f>"2012"</f>
        <v>2012</v>
      </c>
      <c r="I594" t="s">
        <v>14</v>
      </c>
      <c r="J594" t="s">
        <v>15</v>
      </c>
    </row>
    <row r="595" spans="1:10">
      <c r="A595" s="2" t="str">
        <f>"592"</f>
        <v>592</v>
      </c>
      <c r="B595" s="2" t="s">
        <v>9</v>
      </c>
      <c r="C595" s="2" t="str">
        <f>"1 (1)"</f>
        <v>1 (1)</v>
      </c>
      <c r="D595" s="2" t="s">
        <v>1852</v>
      </c>
      <c r="E595" s="5" t="s">
        <v>1853</v>
      </c>
      <c r="F595" s="3" t="s">
        <v>1854</v>
      </c>
      <c r="G595" s="3" t="s">
        <v>1831</v>
      </c>
      <c r="H595" s="2" t="str">
        <f>"2012"</f>
        <v>2012</v>
      </c>
      <c r="I595" t="s">
        <v>14</v>
      </c>
      <c r="J595" t="s">
        <v>15</v>
      </c>
    </row>
    <row r="596" spans="1:10">
      <c r="A596" s="2" t="str">
        <f>"593"</f>
        <v>593</v>
      </c>
      <c r="B596" s="2" t="s">
        <v>9</v>
      </c>
      <c r="C596" s="2" t="str">
        <f>"1 (1)"</f>
        <v>1 (1)</v>
      </c>
      <c r="D596" s="2" t="s">
        <v>1855</v>
      </c>
      <c r="E596" s="5" t="s">
        <v>1856</v>
      </c>
      <c r="F596" s="3" t="s">
        <v>188</v>
      </c>
      <c r="G596" s="3" t="s">
        <v>1824</v>
      </c>
      <c r="H596" s="2" t="str">
        <f>"2012"</f>
        <v>2012</v>
      </c>
      <c r="I596" t="s">
        <v>14</v>
      </c>
      <c r="J596" t="s">
        <v>15</v>
      </c>
    </row>
    <row r="597" spans="1:10">
      <c r="A597" s="2" t="str">
        <f>"594"</f>
        <v>594</v>
      </c>
      <c r="B597" s="2" t="s">
        <v>9</v>
      </c>
      <c r="C597" s="2" t="str">
        <f>"1 (1)"</f>
        <v>1 (1)</v>
      </c>
      <c r="D597" s="2" t="s">
        <v>1857</v>
      </c>
      <c r="E597" s="5" t="s">
        <v>1858</v>
      </c>
      <c r="F597" s="3" t="s">
        <v>1859</v>
      </c>
      <c r="G597" s="3" t="s">
        <v>1824</v>
      </c>
      <c r="H597" s="2" t="str">
        <f>"2012"</f>
        <v>2012</v>
      </c>
      <c r="I597" t="s">
        <v>14</v>
      </c>
      <c r="J597" t="s">
        <v>15</v>
      </c>
    </row>
    <row r="598" spans="1:10">
      <c r="A598" s="2" t="str">
        <f>"595"</f>
        <v>595</v>
      </c>
      <c r="B598" s="2" t="s">
        <v>9</v>
      </c>
      <c r="C598" s="2" t="str">
        <f>"1 (1)"</f>
        <v>1 (1)</v>
      </c>
      <c r="D598" s="2" t="s">
        <v>1860</v>
      </c>
      <c r="E598" s="5" t="s">
        <v>1861</v>
      </c>
      <c r="F598" s="3" t="s">
        <v>1862</v>
      </c>
      <c r="G598" s="3" t="s">
        <v>1824</v>
      </c>
      <c r="H598" s="2" t="str">
        <f>"2012"</f>
        <v>2012</v>
      </c>
      <c r="I598" t="s">
        <v>14</v>
      </c>
      <c r="J598" t="s">
        <v>15</v>
      </c>
    </row>
    <row r="599" spans="1:10">
      <c r="A599" s="2" t="str">
        <f>"596"</f>
        <v>596</v>
      </c>
      <c r="B599" s="2" t="s">
        <v>9</v>
      </c>
      <c r="C599" s="2" t="str">
        <f>"1 (1)"</f>
        <v>1 (1)</v>
      </c>
      <c r="D599" s="2" t="s">
        <v>1863</v>
      </c>
      <c r="E599" s="5" t="s">
        <v>1864</v>
      </c>
      <c r="F599" s="3" t="s">
        <v>1865</v>
      </c>
      <c r="G599" s="3" t="s">
        <v>1824</v>
      </c>
      <c r="H599" s="2" t="str">
        <f>"2012"</f>
        <v>2012</v>
      </c>
      <c r="I599" t="s">
        <v>14</v>
      </c>
      <c r="J599" t="s">
        <v>15</v>
      </c>
    </row>
    <row r="600" spans="1:10">
      <c r="A600" s="2" t="str">
        <f>"597"</f>
        <v>597</v>
      </c>
      <c r="B600" s="2" t="s">
        <v>9</v>
      </c>
      <c r="C600" s="2" t="str">
        <f>"1 (1)"</f>
        <v>1 (1)</v>
      </c>
      <c r="D600" s="2" t="s">
        <v>1866</v>
      </c>
      <c r="E600" s="5" t="s">
        <v>1867</v>
      </c>
      <c r="F600" s="3" t="s">
        <v>1868</v>
      </c>
      <c r="G600" s="3" t="s">
        <v>1831</v>
      </c>
      <c r="H600" s="2" t="str">
        <f>"2012"</f>
        <v>2012</v>
      </c>
      <c r="I600" t="s">
        <v>14</v>
      </c>
      <c r="J600" t="s">
        <v>15</v>
      </c>
    </row>
    <row r="601" spans="1:10">
      <c r="A601" s="2" t="str">
        <f>"598"</f>
        <v>598</v>
      </c>
      <c r="B601" s="2" t="s">
        <v>9</v>
      </c>
      <c r="C601" s="2" t="str">
        <f>"1 (1)"</f>
        <v>1 (1)</v>
      </c>
      <c r="D601" s="2" t="s">
        <v>1869</v>
      </c>
      <c r="E601" s="5" t="s">
        <v>1870</v>
      </c>
      <c r="F601" s="3" t="s">
        <v>1871</v>
      </c>
      <c r="G601" s="3" t="s">
        <v>1824</v>
      </c>
      <c r="H601" s="2" t="str">
        <f>"2012"</f>
        <v>2012</v>
      </c>
      <c r="I601" t="s">
        <v>14</v>
      </c>
      <c r="J601" t="s">
        <v>15</v>
      </c>
    </row>
    <row r="602" spans="1:10">
      <c r="A602" s="2" t="str">
        <f>"599"</f>
        <v>599</v>
      </c>
      <c r="B602" s="2" t="s">
        <v>9</v>
      </c>
      <c r="C602" s="2" t="str">
        <f>"1 (1)"</f>
        <v>1 (1)</v>
      </c>
      <c r="D602" s="2" t="s">
        <v>1872</v>
      </c>
      <c r="E602" s="5" t="s">
        <v>1873</v>
      </c>
      <c r="F602" s="3" t="s">
        <v>1874</v>
      </c>
      <c r="G602" s="3" t="s">
        <v>972</v>
      </c>
      <c r="H602" s="2" t="str">
        <f>"2012"</f>
        <v>2012</v>
      </c>
      <c r="I602" t="s">
        <v>14</v>
      </c>
      <c r="J602" t="s">
        <v>15</v>
      </c>
    </row>
    <row r="603" spans="1:10">
      <c r="A603" s="2" t="str">
        <f>"600"</f>
        <v>600</v>
      </c>
      <c r="B603" s="2" t="s">
        <v>9</v>
      </c>
      <c r="C603" s="2" t="str">
        <f>"1 (1)"</f>
        <v>1 (1)</v>
      </c>
      <c r="D603" s="2" t="s">
        <v>1875</v>
      </c>
      <c r="E603" s="5" t="s">
        <v>1876</v>
      </c>
      <c r="F603" s="3" t="s">
        <v>1877</v>
      </c>
      <c r="G603" s="3" t="s">
        <v>972</v>
      </c>
      <c r="H603" s="2" t="str">
        <f>"2012"</f>
        <v>2012</v>
      </c>
      <c r="I603" t="s">
        <v>14</v>
      </c>
      <c r="J603" t="s">
        <v>15</v>
      </c>
    </row>
    <row r="604" spans="1:10">
      <c r="A604" s="2" t="str">
        <f>"601"</f>
        <v>601</v>
      </c>
      <c r="B604" s="2" t="s">
        <v>9</v>
      </c>
      <c r="C604" s="2" t="str">
        <f>"1 (1)"</f>
        <v>1 (1)</v>
      </c>
      <c r="D604" s="2" t="s">
        <v>1878</v>
      </c>
      <c r="E604" s="5" t="s">
        <v>1879</v>
      </c>
      <c r="F604" s="3" t="s">
        <v>1880</v>
      </c>
      <c r="G604" s="3" t="s">
        <v>972</v>
      </c>
      <c r="H604" s="2" t="str">
        <f>"2012"</f>
        <v>2012</v>
      </c>
      <c r="I604" t="s">
        <v>14</v>
      </c>
      <c r="J604" t="s">
        <v>15</v>
      </c>
    </row>
    <row r="605" spans="1:10">
      <c r="A605" s="2" t="str">
        <f>"602"</f>
        <v>602</v>
      </c>
      <c r="B605" s="2" t="s">
        <v>9</v>
      </c>
      <c r="C605" s="2" t="str">
        <f>"1 (1)"</f>
        <v>1 (1)</v>
      </c>
      <c r="D605" s="2" t="s">
        <v>1881</v>
      </c>
      <c r="E605" s="5" t="s">
        <v>1882</v>
      </c>
      <c r="F605" s="3" t="s">
        <v>1883</v>
      </c>
      <c r="G605" s="3" t="s">
        <v>972</v>
      </c>
      <c r="H605" s="2" t="str">
        <f>"2012"</f>
        <v>2012</v>
      </c>
      <c r="I605" t="s">
        <v>14</v>
      </c>
      <c r="J605" t="s">
        <v>15</v>
      </c>
    </row>
    <row r="606" spans="1:10">
      <c r="A606" s="2" t="str">
        <f>"603"</f>
        <v>603</v>
      </c>
      <c r="B606" s="2" t="s">
        <v>9</v>
      </c>
      <c r="C606" s="2" t="str">
        <f>"1 (1)"</f>
        <v>1 (1)</v>
      </c>
      <c r="D606" s="2" t="s">
        <v>1884</v>
      </c>
      <c r="E606" s="5" t="s">
        <v>1885</v>
      </c>
      <c r="F606" s="3" t="s">
        <v>1886</v>
      </c>
      <c r="G606" s="3" t="s">
        <v>972</v>
      </c>
      <c r="H606" s="2" t="str">
        <f>"2012"</f>
        <v>2012</v>
      </c>
      <c r="I606" t="s">
        <v>14</v>
      </c>
      <c r="J606" t="s">
        <v>15</v>
      </c>
    </row>
    <row r="607" spans="1:10">
      <c r="A607" s="2" t="str">
        <f>"604"</f>
        <v>604</v>
      </c>
      <c r="B607" s="2" t="s">
        <v>9</v>
      </c>
      <c r="C607" s="2" t="str">
        <f>"1 (1)"</f>
        <v>1 (1)</v>
      </c>
      <c r="D607" s="2" t="s">
        <v>1887</v>
      </c>
      <c r="E607" s="5" t="s">
        <v>1888</v>
      </c>
      <c r="F607" s="3" t="s">
        <v>1889</v>
      </c>
      <c r="G607" s="3" t="s">
        <v>972</v>
      </c>
      <c r="H607" s="2" t="str">
        <f>"2012"</f>
        <v>2012</v>
      </c>
      <c r="I607" t="s">
        <v>14</v>
      </c>
      <c r="J607" t="s">
        <v>15</v>
      </c>
    </row>
    <row r="608" spans="1:10">
      <c r="A608" s="2" t="str">
        <f>"605"</f>
        <v>605</v>
      </c>
      <c r="B608" s="2" t="s">
        <v>9</v>
      </c>
      <c r="C608" s="2" t="str">
        <f>"1 (1)"</f>
        <v>1 (1)</v>
      </c>
      <c r="D608" s="2" t="s">
        <v>1890</v>
      </c>
      <c r="E608" s="5" t="s">
        <v>1891</v>
      </c>
      <c r="F608" s="3" t="s">
        <v>1892</v>
      </c>
      <c r="G608" s="3" t="s">
        <v>1893</v>
      </c>
      <c r="H608" s="2" t="str">
        <f>"2012"</f>
        <v>2012</v>
      </c>
      <c r="I608" t="s">
        <v>14</v>
      </c>
      <c r="J608" t="s">
        <v>15</v>
      </c>
    </row>
    <row r="609" spans="1:10">
      <c r="A609" s="2" t="str">
        <f>"606"</f>
        <v>606</v>
      </c>
      <c r="B609" s="2" t="s">
        <v>9</v>
      </c>
      <c r="C609" s="2" t="str">
        <f>"1 (1)"</f>
        <v>1 (1)</v>
      </c>
      <c r="D609" s="2" t="s">
        <v>1894</v>
      </c>
      <c r="E609" s="5" t="s">
        <v>1895</v>
      </c>
      <c r="F609" s="3" t="s">
        <v>1033</v>
      </c>
      <c r="G609" s="3" t="s">
        <v>156</v>
      </c>
      <c r="H609" s="2" t="str">
        <f>"2012"</f>
        <v>2012</v>
      </c>
      <c r="I609" t="s">
        <v>14</v>
      </c>
      <c r="J609" t="s">
        <v>15</v>
      </c>
    </row>
    <row r="610" spans="1:10">
      <c r="A610" s="2" t="str">
        <f>"607"</f>
        <v>607</v>
      </c>
      <c r="B610" s="2" t="s">
        <v>9</v>
      </c>
      <c r="C610" s="2" t="str">
        <f>"1 (1)"</f>
        <v>1 (1)</v>
      </c>
      <c r="D610" s="2" t="s">
        <v>1896</v>
      </c>
      <c r="E610" s="5" t="s">
        <v>1897</v>
      </c>
      <c r="F610" s="3" t="s">
        <v>1898</v>
      </c>
      <c r="G610" s="3" t="s">
        <v>1899</v>
      </c>
      <c r="H610" s="2" t="str">
        <f>"2006"</f>
        <v>2006</v>
      </c>
      <c r="I610" t="s">
        <v>14</v>
      </c>
      <c r="J610" t="s">
        <v>15</v>
      </c>
    </row>
    <row r="611" spans="1:10">
      <c r="A611" s="2" t="str">
        <f>"608"</f>
        <v>608</v>
      </c>
      <c r="B611" s="2" t="s">
        <v>9</v>
      </c>
      <c r="C611" s="2" t="str">
        <f>"1 (1)"</f>
        <v>1 (1)</v>
      </c>
      <c r="D611" s="2" t="s">
        <v>1900</v>
      </c>
      <c r="E611" s="5" t="s">
        <v>1901</v>
      </c>
      <c r="F611" s="3" t="s">
        <v>1902</v>
      </c>
      <c r="G611" s="3" t="s">
        <v>74</v>
      </c>
      <c r="H611" s="2" t="str">
        <f>"2012"</f>
        <v>2012</v>
      </c>
      <c r="I611" t="s">
        <v>14</v>
      </c>
      <c r="J611" t="s">
        <v>15</v>
      </c>
    </row>
    <row r="612" spans="1:10">
      <c r="A612" s="2" t="str">
        <f>"609"</f>
        <v>609</v>
      </c>
      <c r="B612" s="2" t="s">
        <v>9</v>
      </c>
      <c r="C612" s="2" t="str">
        <f>"1 (1)"</f>
        <v>1 (1)</v>
      </c>
      <c r="D612" s="2" t="s">
        <v>1903</v>
      </c>
      <c r="E612" s="5" t="s">
        <v>1536</v>
      </c>
      <c r="F612" s="3" t="s">
        <v>1537</v>
      </c>
      <c r="G612" s="3" t="s">
        <v>156</v>
      </c>
      <c r="H612" s="2" t="str">
        <f>"2012"</f>
        <v>2012</v>
      </c>
      <c r="I612" t="s">
        <v>14</v>
      </c>
      <c r="J612" t="s">
        <v>15</v>
      </c>
    </row>
    <row r="613" spans="1:10">
      <c r="A613" s="2" t="str">
        <f>"610"</f>
        <v>610</v>
      </c>
      <c r="B613" s="2" t="s">
        <v>9</v>
      </c>
      <c r="C613" s="2" t="str">
        <f>"1 (1)"</f>
        <v>1 (1)</v>
      </c>
      <c r="D613" s="2" t="s">
        <v>1904</v>
      </c>
      <c r="E613" s="5" t="s">
        <v>1905</v>
      </c>
      <c r="F613" s="3" t="s">
        <v>1906</v>
      </c>
      <c r="G613" s="3" t="s">
        <v>1765</v>
      </c>
      <c r="H613" s="2" t="str">
        <f>"2012"</f>
        <v>2012</v>
      </c>
      <c r="I613" t="s">
        <v>14</v>
      </c>
      <c r="J613" t="s">
        <v>15</v>
      </c>
    </row>
    <row r="614" spans="1:10">
      <c r="A614" s="2" t="str">
        <f>"611"</f>
        <v>611</v>
      </c>
      <c r="B614" s="2" t="s">
        <v>9</v>
      </c>
      <c r="C614" s="2" t="str">
        <f>"1 (1)"</f>
        <v>1 (1)</v>
      </c>
      <c r="D614" s="2" t="s">
        <v>1907</v>
      </c>
      <c r="E614" s="5" t="str">
        <f>"8282 아침상  : 10분 안에 만들고 5분 안에 먹는다"</f>
        <v>8282 아침상  : 10분 안에 만들고 5분 안에 먹는다</v>
      </c>
      <c r="F614" s="3" t="s">
        <v>1908</v>
      </c>
      <c r="G614" s="3" t="s">
        <v>1909</v>
      </c>
      <c r="H614" s="2" t="str">
        <f>"2012"</f>
        <v>2012</v>
      </c>
      <c r="I614" t="s">
        <v>14</v>
      </c>
      <c r="J614" t="s">
        <v>15</v>
      </c>
    </row>
    <row r="615" spans="1:10">
      <c r="A615" s="2" t="str">
        <f>"612"</f>
        <v>612</v>
      </c>
      <c r="B615" s="2" t="s">
        <v>9</v>
      </c>
      <c r="C615" s="2" t="str">
        <f>"1 (1)"</f>
        <v>1 (1)</v>
      </c>
      <c r="D615" s="2" t="s">
        <v>1910</v>
      </c>
      <c r="E615" s="5" t="s">
        <v>1911</v>
      </c>
      <c r="F615" s="3" t="s">
        <v>1912</v>
      </c>
      <c r="G615" s="3" t="s">
        <v>1913</v>
      </c>
      <c r="H615" s="2" t="str">
        <f>"2012"</f>
        <v>2012</v>
      </c>
      <c r="I615" t="s">
        <v>14</v>
      </c>
      <c r="J615" t="s">
        <v>15</v>
      </c>
    </row>
    <row r="616" spans="1:10">
      <c r="A616" s="2" t="str">
        <f>"613"</f>
        <v>613</v>
      </c>
      <c r="B616" s="2" t="s">
        <v>9</v>
      </c>
      <c r="C616" s="2" t="str">
        <f>"1 (1)"</f>
        <v>1 (1)</v>
      </c>
      <c r="D616" s="2" t="s">
        <v>1914</v>
      </c>
      <c r="E616" s="5" t="s">
        <v>1915</v>
      </c>
      <c r="F616" s="3" t="s">
        <v>1916</v>
      </c>
      <c r="G616" s="3" t="s">
        <v>1917</v>
      </c>
      <c r="H616" s="2" t="str">
        <f>"2012"</f>
        <v>2012</v>
      </c>
      <c r="I616" t="s">
        <v>14</v>
      </c>
      <c r="J616" t="s">
        <v>15</v>
      </c>
    </row>
    <row r="617" spans="1:10">
      <c r="A617" s="2" t="str">
        <f>"614"</f>
        <v>614</v>
      </c>
      <c r="B617" s="2" t="s">
        <v>9</v>
      </c>
      <c r="C617" s="2" t="str">
        <f>"1 (1)"</f>
        <v>1 (1)</v>
      </c>
      <c r="D617" s="2" t="s">
        <v>1918</v>
      </c>
      <c r="E617" s="5" t="s">
        <v>1919</v>
      </c>
      <c r="F617" s="3" t="s">
        <v>1920</v>
      </c>
      <c r="G617" s="3" t="s">
        <v>1921</v>
      </c>
      <c r="H617" s="2" t="str">
        <f>"2012"</f>
        <v>2012</v>
      </c>
      <c r="I617" t="s">
        <v>14</v>
      </c>
      <c r="J617" t="s">
        <v>15</v>
      </c>
    </row>
    <row r="618" spans="1:10">
      <c r="A618" s="2" t="str">
        <f>"615"</f>
        <v>615</v>
      </c>
      <c r="B618" s="2" t="s">
        <v>9</v>
      </c>
      <c r="C618" s="2" t="str">
        <f>"1 (1)"</f>
        <v>1 (1)</v>
      </c>
      <c r="D618" s="2" t="s">
        <v>1922</v>
      </c>
      <c r="E618" s="5" t="s">
        <v>1923</v>
      </c>
      <c r="F618" s="3" t="s">
        <v>1924</v>
      </c>
      <c r="G618" s="3" t="s">
        <v>1925</v>
      </c>
      <c r="H618" s="2" t="str">
        <f>"2012"</f>
        <v>2012</v>
      </c>
      <c r="I618" t="s">
        <v>14</v>
      </c>
      <c r="J618" t="s">
        <v>15</v>
      </c>
    </row>
    <row r="619" spans="1:10">
      <c r="A619" s="2" t="str">
        <f>"616"</f>
        <v>616</v>
      </c>
      <c r="B619" s="2" t="s">
        <v>9</v>
      </c>
      <c r="C619" s="2" t="str">
        <f>"1 (1)"</f>
        <v>1 (1)</v>
      </c>
      <c r="D619" s="2" t="s">
        <v>1926</v>
      </c>
      <c r="E619" s="5" t="s">
        <v>1927</v>
      </c>
      <c r="F619" s="3" t="s">
        <v>1928</v>
      </c>
      <c r="G619" s="3" t="s">
        <v>1929</v>
      </c>
      <c r="H619" s="2" t="str">
        <f>"2012"</f>
        <v>2012</v>
      </c>
      <c r="I619" t="s">
        <v>14</v>
      </c>
      <c r="J619" t="s">
        <v>15</v>
      </c>
    </row>
    <row r="620" spans="1:10">
      <c r="A620" s="2" t="str">
        <f>"617"</f>
        <v>617</v>
      </c>
      <c r="B620" s="2" t="s">
        <v>9</v>
      </c>
      <c r="C620" s="2" t="str">
        <f>"1 (1)"</f>
        <v>1 (1)</v>
      </c>
      <c r="D620" s="2" t="s">
        <v>1930</v>
      </c>
      <c r="E620" s="5" t="s">
        <v>1931</v>
      </c>
      <c r="F620" s="3" t="s">
        <v>1932</v>
      </c>
      <c r="G620" s="3" t="s">
        <v>1933</v>
      </c>
      <c r="H620" s="2" t="str">
        <f>"2012"</f>
        <v>2012</v>
      </c>
      <c r="I620" t="s">
        <v>14</v>
      </c>
      <c r="J620" t="s">
        <v>15</v>
      </c>
    </row>
    <row r="621" spans="1:10">
      <c r="A621" s="2" t="str">
        <f>"618"</f>
        <v>618</v>
      </c>
      <c r="B621" s="2" t="s">
        <v>9</v>
      </c>
      <c r="C621" s="2" t="str">
        <f>"1 (1)"</f>
        <v>1 (1)</v>
      </c>
      <c r="D621" s="2" t="s">
        <v>1934</v>
      </c>
      <c r="E621" s="5" t="s">
        <v>1935</v>
      </c>
      <c r="F621" s="3" t="s">
        <v>1936</v>
      </c>
      <c r="G621" s="3" t="s">
        <v>1937</v>
      </c>
      <c r="H621" s="2" t="str">
        <f>"2012"</f>
        <v>2012</v>
      </c>
      <c r="I621" t="s">
        <v>14</v>
      </c>
      <c r="J621" t="s">
        <v>15</v>
      </c>
    </row>
    <row r="622" spans="1:10">
      <c r="A622" s="2" t="str">
        <f>"619"</f>
        <v>619</v>
      </c>
      <c r="B622" s="2" t="s">
        <v>9</v>
      </c>
      <c r="C622" s="2" t="str">
        <f>"1 (1)"</f>
        <v>1 (1)</v>
      </c>
      <c r="D622" s="2" t="s">
        <v>1938</v>
      </c>
      <c r="E622" s="5" t="s">
        <v>1939</v>
      </c>
      <c r="F622" s="3" t="s">
        <v>1940</v>
      </c>
      <c r="G622" s="3" t="s">
        <v>1941</v>
      </c>
      <c r="H622" s="2" t="str">
        <f>"2012"</f>
        <v>2012</v>
      </c>
      <c r="I622" t="s">
        <v>14</v>
      </c>
      <c r="J622" t="s">
        <v>15</v>
      </c>
    </row>
    <row r="623" spans="1:10">
      <c r="A623" s="2" t="str">
        <f>"620"</f>
        <v>620</v>
      </c>
      <c r="B623" s="2" t="s">
        <v>9</v>
      </c>
      <c r="C623" s="2" t="str">
        <f>"1 (1)"</f>
        <v>1 (1)</v>
      </c>
      <c r="D623" s="2" t="s">
        <v>1942</v>
      </c>
      <c r="E623" s="5" t="s">
        <v>1943</v>
      </c>
      <c r="F623" s="3" t="s">
        <v>1944</v>
      </c>
      <c r="G623" s="3" t="s">
        <v>1945</v>
      </c>
      <c r="H623" s="2" t="str">
        <f>"2012"</f>
        <v>2012</v>
      </c>
      <c r="I623" t="s">
        <v>14</v>
      </c>
      <c r="J623" t="s">
        <v>15</v>
      </c>
    </row>
    <row r="624" spans="1:10">
      <c r="A624" s="2" t="str">
        <f>"621"</f>
        <v>621</v>
      </c>
      <c r="B624" s="2" t="s">
        <v>9</v>
      </c>
      <c r="C624" s="2" t="str">
        <f>"1 (1)"</f>
        <v>1 (1)</v>
      </c>
      <c r="D624" s="2" t="s">
        <v>1946</v>
      </c>
      <c r="E624" s="5" t="s">
        <v>1947</v>
      </c>
      <c r="F624" s="3" t="s">
        <v>1948</v>
      </c>
      <c r="G624" s="3" t="s">
        <v>1949</v>
      </c>
      <c r="H624" s="2" t="str">
        <f>"2012"</f>
        <v>2012</v>
      </c>
      <c r="I624" t="s">
        <v>14</v>
      </c>
      <c r="J624" t="s">
        <v>15</v>
      </c>
    </row>
    <row r="625" spans="1:10">
      <c r="A625" s="2" t="str">
        <f>"622"</f>
        <v>622</v>
      </c>
      <c r="B625" s="2" t="s">
        <v>9</v>
      </c>
      <c r="C625" s="2" t="str">
        <f>"1 (1)"</f>
        <v>1 (1)</v>
      </c>
      <c r="D625" s="2" t="s">
        <v>1950</v>
      </c>
      <c r="E625" s="5" t="s">
        <v>1951</v>
      </c>
      <c r="F625" s="3" t="s">
        <v>1952</v>
      </c>
      <c r="G625" s="3" t="s">
        <v>1953</v>
      </c>
      <c r="H625" s="2" t="str">
        <f>"2012"</f>
        <v>2012</v>
      </c>
      <c r="I625" t="s">
        <v>14</v>
      </c>
      <c r="J625" t="s">
        <v>15</v>
      </c>
    </row>
    <row r="626" spans="1:10">
      <c r="A626" s="2" t="str">
        <f>"623"</f>
        <v>623</v>
      </c>
      <c r="B626" s="2" t="s">
        <v>9</v>
      </c>
      <c r="C626" s="2" t="str">
        <f>"1 (1)"</f>
        <v>1 (1)</v>
      </c>
      <c r="D626" s="2" t="s">
        <v>1954</v>
      </c>
      <c r="E626" s="5" t="s">
        <v>1955</v>
      </c>
      <c r="F626" s="3" t="s">
        <v>1956</v>
      </c>
      <c r="G626" s="3" t="s">
        <v>1949</v>
      </c>
      <c r="H626" s="2" t="str">
        <f>"2012"</f>
        <v>2012</v>
      </c>
      <c r="I626" t="s">
        <v>14</v>
      </c>
      <c r="J626" t="s">
        <v>15</v>
      </c>
    </row>
    <row r="627" spans="1:10">
      <c r="A627" s="2" t="str">
        <f>"624"</f>
        <v>624</v>
      </c>
      <c r="B627" s="2" t="s">
        <v>9</v>
      </c>
      <c r="C627" s="2" t="str">
        <f>"1 (1)"</f>
        <v>1 (1)</v>
      </c>
      <c r="D627" s="2" t="s">
        <v>1957</v>
      </c>
      <c r="E627" s="5" t="s">
        <v>1958</v>
      </c>
      <c r="F627" s="3" t="s">
        <v>1959</v>
      </c>
      <c r="G627" s="3" t="s">
        <v>1960</v>
      </c>
      <c r="H627" s="2" t="str">
        <f>"2012"</f>
        <v>2012</v>
      </c>
      <c r="I627" t="s">
        <v>14</v>
      </c>
      <c r="J627" t="s">
        <v>15</v>
      </c>
    </row>
    <row r="628" spans="1:10">
      <c r="A628" s="2" t="str">
        <f>"625"</f>
        <v>625</v>
      </c>
      <c r="B628" s="2" t="s">
        <v>9</v>
      </c>
      <c r="C628" s="2" t="str">
        <f>"1 (1)"</f>
        <v>1 (1)</v>
      </c>
      <c r="D628" s="2" t="s">
        <v>1961</v>
      </c>
      <c r="E628" s="5" t="s">
        <v>1962</v>
      </c>
      <c r="F628" s="3" t="s">
        <v>1963</v>
      </c>
      <c r="G628" s="3" t="s">
        <v>1964</v>
      </c>
      <c r="H628" s="2" t="str">
        <f>"2012"</f>
        <v>2012</v>
      </c>
      <c r="I628" t="s">
        <v>14</v>
      </c>
      <c r="J628" t="s">
        <v>15</v>
      </c>
    </row>
    <row r="629" spans="1:10">
      <c r="A629" s="2" t="str">
        <f>"626"</f>
        <v>626</v>
      </c>
      <c r="B629" s="2" t="s">
        <v>9</v>
      </c>
      <c r="C629" s="2" t="str">
        <f>"1 (1)"</f>
        <v>1 (1)</v>
      </c>
      <c r="D629" s="2" t="s">
        <v>1965</v>
      </c>
      <c r="E629" s="5" t="s">
        <v>1966</v>
      </c>
      <c r="F629" s="3" t="s">
        <v>1967</v>
      </c>
      <c r="G629" s="3" t="s">
        <v>1968</v>
      </c>
      <c r="H629" s="2" t="str">
        <f>"2012"</f>
        <v>2012</v>
      </c>
      <c r="I629" t="s">
        <v>14</v>
      </c>
      <c r="J629" t="s">
        <v>15</v>
      </c>
    </row>
    <row r="630" spans="1:10">
      <c r="A630" s="2" t="str">
        <f>"627"</f>
        <v>627</v>
      </c>
      <c r="B630" s="2" t="s">
        <v>9</v>
      </c>
      <c r="C630" s="2" t="str">
        <f>"1 (1)"</f>
        <v>1 (1)</v>
      </c>
      <c r="D630" s="2" t="s">
        <v>1969</v>
      </c>
      <c r="E630" s="5" t="s">
        <v>1970</v>
      </c>
      <c r="F630" s="3" t="s">
        <v>1971</v>
      </c>
      <c r="G630" s="3" t="s">
        <v>1972</v>
      </c>
      <c r="H630" s="2" t="str">
        <f>"2011"</f>
        <v>2011</v>
      </c>
      <c r="I630" t="s">
        <v>14</v>
      </c>
      <c r="J630" t="s">
        <v>15</v>
      </c>
    </row>
    <row r="631" spans="1:10">
      <c r="A631" s="2" t="str">
        <f>"628"</f>
        <v>628</v>
      </c>
      <c r="B631" s="2" t="s">
        <v>9</v>
      </c>
      <c r="C631" s="2" t="str">
        <f>"1 (1)"</f>
        <v>1 (1)</v>
      </c>
      <c r="D631" s="2" t="s">
        <v>1973</v>
      </c>
      <c r="E631" s="5" t="s">
        <v>1974</v>
      </c>
      <c r="F631" s="3" t="s">
        <v>1975</v>
      </c>
      <c r="G631" s="3" t="s">
        <v>1921</v>
      </c>
      <c r="H631" s="2" t="str">
        <f>"2012"</f>
        <v>2012</v>
      </c>
      <c r="I631" t="s">
        <v>14</v>
      </c>
      <c r="J631" t="s">
        <v>15</v>
      </c>
    </row>
    <row r="632" spans="1:10">
      <c r="A632" s="2" t="str">
        <f>"629"</f>
        <v>629</v>
      </c>
      <c r="B632" s="2" t="s">
        <v>9</v>
      </c>
      <c r="C632" s="2" t="str">
        <f>"1 (1)"</f>
        <v>1 (1)</v>
      </c>
      <c r="D632" s="2" t="s">
        <v>1976</v>
      </c>
      <c r="E632" s="5" t="s">
        <v>1977</v>
      </c>
      <c r="F632" s="3" t="s">
        <v>1978</v>
      </c>
      <c r="G632" s="3" t="s">
        <v>1979</v>
      </c>
      <c r="H632" s="2" t="str">
        <f>"2012"</f>
        <v>2012</v>
      </c>
      <c r="I632" t="s">
        <v>14</v>
      </c>
      <c r="J632" t="s">
        <v>15</v>
      </c>
    </row>
    <row r="633" spans="1:10">
      <c r="A633" s="2" t="str">
        <f>"630"</f>
        <v>630</v>
      </c>
      <c r="B633" s="2" t="s">
        <v>9</v>
      </c>
      <c r="C633" s="2" t="str">
        <f>"1 (1)"</f>
        <v>1 (1)</v>
      </c>
      <c r="D633" s="2" t="s">
        <v>1980</v>
      </c>
      <c r="E633" s="5" t="s">
        <v>1981</v>
      </c>
      <c r="F633" s="3" t="s">
        <v>1982</v>
      </c>
      <c r="G633" s="3" t="s">
        <v>1983</v>
      </c>
      <c r="H633" s="2" t="str">
        <f>"2012"</f>
        <v>2012</v>
      </c>
      <c r="I633" t="s">
        <v>14</v>
      </c>
      <c r="J633" t="s">
        <v>15</v>
      </c>
    </row>
    <row r="634" spans="1:10">
      <c r="A634" s="2" t="str">
        <f>"631"</f>
        <v>631</v>
      </c>
      <c r="B634" s="2" t="s">
        <v>9</v>
      </c>
      <c r="C634" s="2" t="str">
        <f>"1 (1)"</f>
        <v>1 (1)</v>
      </c>
      <c r="D634" s="2" t="s">
        <v>1984</v>
      </c>
      <c r="E634" s="5" t="s">
        <v>1985</v>
      </c>
      <c r="F634" s="3" t="s">
        <v>1986</v>
      </c>
      <c r="G634" s="3" t="s">
        <v>1987</v>
      </c>
      <c r="H634" s="2" t="str">
        <f>"2012"</f>
        <v>2012</v>
      </c>
      <c r="I634" t="s">
        <v>14</v>
      </c>
      <c r="J634" t="s">
        <v>15</v>
      </c>
    </row>
    <row r="635" spans="1:10">
      <c r="A635" s="2" t="str">
        <f>"632"</f>
        <v>632</v>
      </c>
      <c r="B635" s="2" t="s">
        <v>9</v>
      </c>
      <c r="C635" s="2" t="str">
        <f>"1 (1)"</f>
        <v>1 (1)</v>
      </c>
      <c r="D635" s="2" t="s">
        <v>1988</v>
      </c>
      <c r="E635" s="5" t="s">
        <v>1989</v>
      </c>
      <c r="F635" s="3" t="s">
        <v>1990</v>
      </c>
      <c r="G635" s="3" t="s">
        <v>1991</v>
      </c>
      <c r="H635" s="2" t="str">
        <f>"2012"</f>
        <v>2012</v>
      </c>
      <c r="I635" t="s">
        <v>14</v>
      </c>
      <c r="J635" t="s">
        <v>15</v>
      </c>
    </row>
    <row r="636" spans="1:10">
      <c r="A636" s="2" t="str">
        <f>"633"</f>
        <v>633</v>
      </c>
      <c r="B636" s="2" t="s">
        <v>9</v>
      </c>
      <c r="C636" s="2" t="str">
        <f>"1 (1)"</f>
        <v>1 (1)</v>
      </c>
      <c r="D636" s="2" t="s">
        <v>1992</v>
      </c>
      <c r="E636" s="5" t="s">
        <v>1993</v>
      </c>
      <c r="F636" s="3" t="s">
        <v>1990</v>
      </c>
      <c r="G636" s="3" t="s">
        <v>1991</v>
      </c>
      <c r="H636" s="2" t="str">
        <f>"2012"</f>
        <v>2012</v>
      </c>
      <c r="I636" t="s">
        <v>14</v>
      </c>
      <c r="J636" t="s">
        <v>15</v>
      </c>
    </row>
    <row r="637" spans="1:10">
      <c r="A637" s="2" t="str">
        <f>"634"</f>
        <v>634</v>
      </c>
      <c r="B637" s="2" t="s">
        <v>9</v>
      </c>
      <c r="C637" s="2" t="str">
        <f>"1 (1)"</f>
        <v>1 (1)</v>
      </c>
      <c r="D637" s="2" t="s">
        <v>1994</v>
      </c>
      <c r="E637" s="5" t="s">
        <v>1995</v>
      </c>
      <c r="F637" s="3" t="s">
        <v>1996</v>
      </c>
      <c r="G637" s="3" t="s">
        <v>1997</v>
      </c>
      <c r="H637" s="2" t="str">
        <f>"2012"</f>
        <v>2012</v>
      </c>
      <c r="I637" t="s">
        <v>14</v>
      </c>
      <c r="J637" t="s">
        <v>15</v>
      </c>
    </row>
    <row r="638" spans="1:10">
      <c r="A638" s="2" t="str">
        <f>"635"</f>
        <v>635</v>
      </c>
      <c r="B638" s="2" t="s">
        <v>9</v>
      </c>
      <c r="C638" s="2" t="str">
        <f>"1 (1)"</f>
        <v>1 (1)</v>
      </c>
      <c r="D638" s="2" t="s">
        <v>1998</v>
      </c>
      <c r="E638" s="5" t="s">
        <v>1999</v>
      </c>
      <c r="F638" s="3" t="s">
        <v>2000</v>
      </c>
      <c r="G638" s="3" t="s">
        <v>2001</v>
      </c>
      <c r="H638" s="2" t="str">
        <f>"2012"</f>
        <v>2012</v>
      </c>
      <c r="I638" t="s">
        <v>14</v>
      </c>
      <c r="J638" t="s">
        <v>15</v>
      </c>
    </row>
    <row r="639" spans="1:10">
      <c r="A639" s="2" t="str">
        <f>"636"</f>
        <v>636</v>
      </c>
      <c r="B639" s="2" t="s">
        <v>9</v>
      </c>
      <c r="C639" s="2" t="str">
        <f>"1 (1)"</f>
        <v>1 (1)</v>
      </c>
      <c r="D639" s="2" t="s">
        <v>2002</v>
      </c>
      <c r="E639" s="5" t="s">
        <v>2003</v>
      </c>
      <c r="F639" s="3" t="s">
        <v>2004</v>
      </c>
      <c r="G639" s="3" t="s">
        <v>2005</v>
      </c>
      <c r="H639" s="2" t="str">
        <f>"2012"</f>
        <v>2012</v>
      </c>
      <c r="I639" t="s">
        <v>14</v>
      </c>
      <c r="J639" t="s">
        <v>15</v>
      </c>
    </row>
    <row r="640" spans="1:10">
      <c r="A640" s="2" t="str">
        <f>"637"</f>
        <v>637</v>
      </c>
      <c r="B640" s="2" t="s">
        <v>9</v>
      </c>
      <c r="C640" s="2" t="str">
        <f>"1 (1)"</f>
        <v>1 (1)</v>
      </c>
      <c r="D640" s="2" t="s">
        <v>2006</v>
      </c>
      <c r="E640" s="5" t="s">
        <v>2007</v>
      </c>
      <c r="F640" s="3" t="s">
        <v>2008</v>
      </c>
      <c r="G640" s="3" t="s">
        <v>2009</v>
      </c>
      <c r="H640" s="2" t="str">
        <f>"2012"</f>
        <v>2012</v>
      </c>
      <c r="I640" t="s">
        <v>14</v>
      </c>
      <c r="J640" t="s">
        <v>15</v>
      </c>
    </row>
    <row r="641" spans="1:10">
      <c r="A641" s="2" t="str">
        <f>"638"</f>
        <v>638</v>
      </c>
      <c r="B641" s="2" t="s">
        <v>9</v>
      </c>
      <c r="C641" s="2" t="str">
        <f>"1 (1)"</f>
        <v>1 (1)</v>
      </c>
      <c r="D641" s="2" t="s">
        <v>2010</v>
      </c>
      <c r="E641" s="5" t="s">
        <v>2011</v>
      </c>
      <c r="F641" s="3" t="s">
        <v>2012</v>
      </c>
      <c r="G641" s="3" t="s">
        <v>2013</v>
      </c>
      <c r="H641" s="2" t="str">
        <f>"2012"</f>
        <v>2012</v>
      </c>
      <c r="I641" t="s">
        <v>14</v>
      </c>
      <c r="J641" t="s">
        <v>15</v>
      </c>
    </row>
    <row r="642" spans="1:10">
      <c r="A642" s="2" t="str">
        <f>"639"</f>
        <v>639</v>
      </c>
      <c r="B642" s="2" t="s">
        <v>9</v>
      </c>
      <c r="C642" s="2" t="str">
        <f>"1 (1)"</f>
        <v>1 (1)</v>
      </c>
      <c r="D642" s="2" t="s">
        <v>2014</v>
      </c>
      <c r="E642" s="5" t="s">
        <v>2015</v>
      </c>
      <c r="F642" s="3" t="s">
        <v>2016</v>
      </c>
      <c r="G642" s="3" t="s">
        <v>2017</v>
      </c>
      <c r="H642" s="2" t="str">
        <f>"2012"</f>
        <v>2012</v>
      </c>
      <c r="I642" t="s">
        <v>14</v>
      </c>
      <c r="J642" t="s">
        <v>15</v>
      </c>
    </row>
    <row r="643" spans="1:10">
      <c r="A643" s="2" t="str">
        <f>"640"</f>
        <v>640</v>
      </c>
      <c r="B643" s="2" t="s">
        <v>9</v>
      </c>
      <c r="C643" s="2" t="str">
        <f>"1 (1)"</f>
        <v>1 (1)</v>
      </c>
      <c r="D643" s="2" t="s">
        <v>2018</v>
      </c>
      <c r="E643" s="5" t="s">
        <v>2019</v>
      </c>
      <c r="F643" s="3" t="s">
        <v>2020</v>
      </c>
      <c r="G643" s="3" t="s">
        <v>2021</v>
      </c>
      <c r="H643" s="2" t="str">
        <f>"2012"</f>
        <v>2012</v>
      </c>
      <c r="I643" t="s">
        <v>14</v>
      </c>
      <c r="J643" t="s">
        <v>15</v>
      </c>
    </row>
    <row r="644" spans="1:10">
      <c r="A644" s="2" t="str">
        <f>"641"</f>
        <v>641</v>
      </c>
      <c r="B644" s="2" t="s">
        <v>9</v>
      </c>
      <c r="C644" s="2" t="str">
        <f>"1 (1)"</f>
        <v>1 (1)</v>
      </c>
      <c r="D644" s="2" t="s">
        <v>2022</v>
      </c>
      <c r="E644" s="5" t="s">
        <v>2023</v>
      </c>
      <c r="F644" s="3" t="s">
        <v>2024</v>
      </c>
      <c r="G644" s="3" t="s">
        <v>2025</v>
      </c>
      <c r="H644" s="2" t="str">
        <f>"2012"</f>
        <v>2012</v>
      </c>
      <c r="I644" t="s">
        <v>14</v>
      </c>
      <c r="J644" t="s">
        <v>15</v>
      </c>
    </row>
    <row r="645" spans="1:10">
      <c r="A645" s="2" t="str">
        <f>"642"</f>
        <v>642</v>
      </c>
      <c r="B645" s="2" t="s">
        <v>9</v>
      </c>
      <c r="C645" s="2" t="str">
        <f>"1 (1)"</f>
        <v>1 (1)</v>
      </c>
      <c r="D645" s="2" t="s">
        <v>2026</v>
      </c>
      <c r="E645" s="5" t="s">
        <v>2027</v>
      </c>
      <c r="F645" s="3" t="s">
        <v>2028</v>
      </c>
      <c r="G645" s="3" t="s">
        <v>2029</v>
      </c>
      <c r="H645" s="2" t="str">
        <f>"2012"</f>
        <v>2012</v>
      </c>
      <c r="I645" t="s">
        <v>14</v>
      </c>
      <c r="J645" t="s">
        <v>15</v>
      </c>
    </row>
    <row r="646" spans="1:10">
      <c r="A646" s="2" t="str">
        <f>"643"</f>
        <v>643</v>
      </c>
      <c r="B646" s="2" t="s">
        <v>9</v>
      </c>
      <c r="C646" s="2" t="str">
        <f>"1 (1)"</f>
        <v>1 (1)</v>
      </c>
      <c r="D646" s="2" t="s">
        <v>2030</v>
      </c>
      <c r="E646" s="5" t="s">
        <v>2031</v>
      </c>
      <c r="F646" s="3" t="s">
        <v>2032</v>
      </c>
      <c r="G646" s="3" t="s">
        <v>2033</v>
      </c>
      <c r="H646" s="2" t="str">
        <f>"2012"</f>
        <v>2012</v>
      </c>
      <c r="I646" t="s">
        <v>14</v>
      </c>
      <c r="J646" t="s">
        <v>15</v>
      </c>
    </row>
    <row r="647" spans="1:10">
      <c r="A647" s="2" t="str">
        <f>"644"</f>
        <v>644</v>
      </c>
      <c r="B647" s="2" t="s">
        <v>9</v>
      </c>
      <c r="C647" s="2" t="str">
        <f>"1 (1)"</f>
        <v>1 (1)</v>
      </c>
      <c r="D647" s="2" t="s">
        <v>2034</v>
      </c>
      <c r="E647" s="5" t="s">
        <v>2035</v>
      </c>
      <c r="F647" s="3" t="s">
        <v>2036</v>
      </c>
      <c r="G647" s="3" t="s">
        <v>2037</v>
      </c>
      <c r="H647" s="2" t="str">
        <f>"2012"</f>
        <v>2012</v>
      </c>
      <c r="I647" t="s">
        <v>14</v>
      </c>
      <c r="J647" t="s">
        <v>15</v>
      </c>
    </row>
    <row r="648" spans="1:10">
      <c r="A648" s="2" t="str">
        <f>"645"</f>
        <v>645</v>
      </c>
      <c r="B648" s="2" t="s">
        <v>9</v>
      </c>
      <c r="C648" s="2" t="str">
        <f>"1 (1)"</f>
        <v>1 (1)</v>
      </c>
      <c r="D648" s="2" t="s">
        <v>2038</v>
      </c>
      <c r="E648" s="5" t="s">
        <v>2039</v>
      </c>
      <c r="F648" s="3" t="s">
        <v>2040</v>
      </c>
      <c r="G648" s="3" t="s">
        <v>2041</v>
      </c>
      <c r="H648" s="2" t="str">
        <f>"2012"</f>
        <v>2012</v>
      </c>
      <c r="I648" t="s">
        <v>14</v>
      </c>
      <c r="J648" t="s">
        <v>15</v>
      </c>
    </row>
    <row r="649" spans="1:10">
      <c r="A649" s="2" t="str">
        <f>"646"</f>
        <v>646</v>
      </c>
      <c r="B649" s="2" t="s">
        <v>9</v>
      </c>
      <c r="C649" s="2" t="str">
        <f>"1 (1)"</f>
        <v>1 (1)</v>
      </c>
      <c r="D649" s="2" t="s">
        <v>2042</v>
      </c>
      <c r="E649" s="5" t="s">
        <v>2043</v>
      </c>
      <c r="F649" s="3" t="s">
        <v>2044</v>
      </c>
      <c r="G649" s="3" t="s">
        <v>2045</v>
      </c>
      <c r="H649" s="2" t="str">
        <f>"2012"</f>
        <v>2012</v>
      </c>
      <c r="I649" t="s">
        <v>14</v>
      </c>
      <c r="J649" t="s">
        <v>15</v>
      </c>
    </row>
    <row r="650" spans="1:10">
      <c r="A650" s="2" t="str">
        <f>"647"</f>
        <v>647</v>
      </c>
      <c r="B650" s="2" t="s">
        <v>9</v>
      </c>
      <c r="C650" s="2" t="str">
        <f>"1 (1)"</f>
        <v>1 (1)</v>
      </c>
      <c r="D650" s="2" t="s">
        <v>2046</v>
      </c>
      <c r="E650" s="5" t="s">
        <v>2047</v>
      </c>
      <c r="F650" s="3" t="s">
        <v>2048</v>
      </c>
      <c r="G650" s="3" t="s">
        <v>2049</v>
      </c>
      <c r="H650" s="2" t="str">
        <f>"2012"</f>
        <v>2012</v>
      </c>
      <c r="I650" t="s">
        <v>14</v>
      </c>
      <c r="J650" t="s">
        <v>15</v>
      </c>
    </row>
    <row r="651" spans="1:10">
      <c r="A651" s="2" t="str">
        <f>"648"</f>
        <v>648</v>
      </c>
      <c r="B651" s="2" t="s">
        <v>9</v>
      </c>
      <c r="C651" s="2" t="str">
        <f>"1 (1)"</f>
        <v>1 (1)</v>
      </c>
      <c r="D651" s="2" t="s">
        <v>2050</v>
      </c>
      <c r="E651" s="5" t="s">
        <v>2051</v>
      </c>
      <c r="F651" s="3" t="s">
        <v>2052</v>
      </c>
      <c r="G651" s="3" t="s">
        <v>2053</v>
      </c>
      <c r="H651" s="2" t="str">
        <f>"2012"</f>
        <v>2012</v>
      </c>
      <c r="I651" t="s">
        <v>14</v>
      </c>
      <c r="J651" t="s">
        <v>15</v>
      </c>
    </row>
    <row r="652" spans="1:10">
      <c r="A652" s="2" t="str">
        <f>"649"</f>
        <v>649</v>
      </c>
      <c r="B652" s="2" t="s">
        <v>9</v>
      </c>
      <c r="C652" s="2" t="str">
        <f>"1 (1)"</f>
        <v>1 (1)</v>
      </c>
      <c r="D652" s="2" t="s">
        <v>2054</v>
      </c>
      <c r="E652" s="5" t="s">
        <v>2055</v>
      </c>
      <c r="F652" s="3" t="s">
        <v>2056</v>
      </c>
      <c r="G652" s="3" t="s">
        <v>880</v>
      </c>
      <c r="H652" s="2" t="str">
        <f>"2012"</f>
        <v>2012</v>
      </c>
      <c r="I652" t="s">
        <v>14</v>
      </c>
      <c r="J652" t="s">
        <v>15</v>
      </c>
    </row>
    <row r="653" spans="1:10">
      <c r="A653" s="2" t="str">
        <f>"650"</f>
        <v>650</v>
      </c>
      <c r="B653" s="2" t="s">
        <v>9</v>
      </c>
      <c r="C653" s="2" t="str">
        <f>"1 (1)"</f>
        <v>1 (1)</v>
      </c>
      <c r="D653" s="2" t="s">
        <v>2057</v>
      </c>
      <c r="E653" s="5" t="s">
        <v>2058</v>
      </c>
      <c r="F653" s="3" t="s">
        <v>2059</v>
      </c>
      <c r="G653" s="3" t="s">
        <v>2060</v>
      </c>
      <c r="H653" s="2" t="str">
        <f>"2012"</f>
        <v>2012</v>
      </c>
      <c r="I653" t="s">
        <v>14</v>
      </c>
      <c r="J653" t="s">
        <v>15</v>
      </c>
    </row>
    <row r="654" spans="1:10">
      <c r="A654" s="2" t="str">
        <f>"651"</f>
        <v>651</v>
      </c>
      <c r="B654" s="2" t="s">
        <v>9</v>
      </c>
      <c r="C654" s="2" t="str">
        <f>"1 (1)"</f>
        <v>1 (1)</v>
      </c>
      <c r="D654" s="2" t="s">
        <v>2061</v>
      </c>
      <c r="E654" s="5" t="s">
        <v>2062</v>
      </c>
      <c r="F654" s="3" t="s">
        <v>2063</v>
      </c>
      <c r="G654" s="3" t="s">
        <v>2064</v>
      </c>
      <c r="H654" s="2" t="str">
        <f>"2012"</f>
        <v>2012</v>
      </c>
      <c r="I654" t="s">
        <v>14</v>
      </c>
      <c r="J654" t="s">
        <v>15</v>
      </c>
    </row>
    <row r="655" spans="1:10">
      <c r="A655" s="2" t="str">
        <f>"652"</f>
        <v>652</v>
      </c>
      <c r="B655" s="2" t="s">
        <v>9</v>
      </c>
      <c r="C655" s="2" t="str">
        <f>"1 (1)"</f>
        <v>1 (1)</v>
      </c>
      <c r="D655" s="2" t="s">
        <v>2065</v>
      </c>
      <c r="E655" s="5" t="s">
        <v>2066</v>
      </c>
      <c r="F655" s="3" t="s">
        <v>2067</v>
      </c>
      <c r="G655" s="3" t="s">
        <v>2068</v>
      </c>
      <c r="H655" s="2" t="str">
        <f>"2012"</f>
        <v>2012</v>
      </c>
      <c r="I655" t="s">
        <v>14</v>
      </c>
      <c r="J655" t="s">
        <v>15</v>
      </c>
    </row>
    <row r="656" spans="1:10">
      <c r="A656" s="2" t="str">
        <f>"653"</f>
        <v>653</v>
      </c>
      <c r="B656" s="2" t="s">
        <v>9</v>
      </c>
      <c r="C656" s="2" t="str">
        <f>"1 (1)"</f>
        <v>1 (1)</v>
      </c>
      <c r="D656" s="2" t="s">
        <v>2069</v>
      </c>
      <c r="E656" s="5" t="s">
        <v>2070</v>
      </c>
      <c r="F656" s="3" t="s">
        <v>2071</v>
      </c>
      <c r="G656" s="3" t="s">
        <v>2072</v>
      </c>
      <c r="H656" s="2" t="str">
        <f>"2012"</f>
        <v>2012</v>
      </c>
      <c r="I656" t="s">
        <v>14</v>
      </c>
      <c r="J656" t="s">
        <v>15</v>
      </c>
    </row>
    <row r="657" spans="1:10">
      <c r="A657" s="2" t="str">
        <f>"654"</f>
        <v>654</v>
      </c>
      <c r="B657" s="2" t="s">
        <v>9</v>
      </c>
      <c r="C657" s="2" t="str">
        <f>"1 (1)"</f>
        <v>1 (1)</v>
      </c>
      <c r="D657" s="2" t="s">
        <v>2073</v>
      </c>
      <c r="E657" s="5" t="s">
        <v>2074</v>
      </c>
      <c r="F657" s="3" t="s">
        <v>2075</v>
      </c>
      <c r="G657" s="3" t="s">
        <v>2076</v>
      </c>
      <c r="H657" s="2" t="str">
        <f>"2012"</f>
        <v>2012</v>
      </c>
      <c r="I657" t="s">
        <v>14</v>
      </c>
      <c r="J657" t="s">
        <v>15</v>
      </c>
    </row>
    <row r="658" spans="1:10">
      <c r="A658" s="2" t="str">
        <f>"655"</f>
        <v>655</v>
      </c>
      <c r="B658" s="2" t="s">
        <v>9</v>
      </c>
      <c r="C658" s="2" t="str">
        <f>"1 (1)"</f>
        <v>1 (1)</v>
      </c>
      <c r="D658" s="2" t="s">
        <v>2077</v>
      </c>
      <c r="E658" s="5" t="s">
        <v>2078</v>
      </c>
      <c r="F658" s="3" t="s">
        <v>2079</v>
      </c>
      <c r="G658" s="3" t="s">
        <v>2080</v>
      </c>
      <c r="H658" s="2" t="str">
        <f>"2012"</f>
        <v>2012</v>
      </c>
      <c r="I658" t="s">
        <v>14</v>
      </c>
      <c r="J658" t="s">
        <v>15</v>
      </c>
    </row>
    <row r="659" spans="1:10">
      <c r="A659" s="2" t="str">
        <f>"656"</f>
        <v>656</v>
      </c>
      <c r="B659" s="2" t="s">
        <v>9</v>
      </c>
      <c r="C659" s="2" t="str">
        <f>"1 (1)"</f>
        <v>1 (1)</v>
      </c>
      <c r="D659" s="2" t="s">
        <v>2081</v>
      </c>
      <c r="E659" s="5" t="s">
        <v>2082</v>
      </c>
      <c r="F659" s="3" t="s">
        <v>2083</v>
      </c>
      <c r="G659" s="3" t="str">
        <f>"21세기북스"</f>
        <v>21세기북스</v>
      </c>
      <c r="H659" s="2" t="str">
        <f>"2012"</f>
        <v>2012</v>
      </c>
      <c r="I659" t="s">
        <v>14</v>
      </c>
      <c r="J659" t="s">
        <v>15</v>
      </c>
    </row>
    <row r="660" spans="1:10">
      <c r="A660" s="2" t="str">
        <f>"657"</f>
        <v>657</v>
      </c>
      <c r="B660" s="2" t="s">
        <v>9</v>
      </c>
      <c r="C660" s="2" t="str">
        <f>"1 (1)"</f>
        <v>1 (1)</v>
      </c>
      <c r="D660" s="2" t="s">
        <v>2084</v>
      </c>
      <c r="E660" s="5" t="s">
        <v>2085</v>
      </c>
      <c r="F660" s="3" t="s">
        <v>2086</v>
      </c>
      <c r="G660" s="3" t="s">
        <v>2087</v>
      </c>
      <c r="H660" s="2" t="str">
        <f>"2012"</f>
        <v>2012</v>
      </c>
      <c r="I660" t="s">
        <v>14</v>
      </c>
      <c r="J660" t="s">
        <v>15</v>
      </c>
    </row>
    <row r="661" spans="1:10">
      <c r="A661" s="2" t="str">
        <f>"658"</f>
        <v>658</v>
      </c>
      <c r="B661" s="2" t="s">
        <v>9</v>
      </c>
      <c r="C661" s="2" t="str">
        <f>"1 (1)"</f>
        <v>1 (1)</v>
      </c>
      <c r="D661" s="2" t="s">
        <v>2088</v>
      </c>
      <c r="E661" s="5" t="s">
        <v>2089</v>
      </c>
      <c r="F661" s="3" t="s">
        <v>2090</v>
      </c>
      <c r="G661" s="3" t="s">
        <v>2091</v>
      </c>
      <c r="H661" s="2" t="str">
        <f>"2012"</f>
        <v>2012</v>
      </c>
      <c r="I661" t="s">
        <v>14</v>
      </c>
      <c r="J661" t="s">
        <v>15</v>
      </c>
    </row>
    <row r="662" spans="1:10">
      <c r="A662" s="2" t="str">
        <f>"659"</f>
        <v>659</v>
      </c>
      <c r="B662" s="2" t="s">
        <v>9</v>
      </c>
      <c r="C662" s="2" t="str">
        <f>"1 (1)"</f>
        <v>1 (1)</v>
      </c>
      <c r="D662" s="2" t="s">
        <v>2092</v>
      </c>
      <c r="E662" s="5" t="s">
        <v>2093</v>
      </c>
      <c r="F662" s="3" t="s">
        <v>2094</v>
      </c>
      <c r="G662" s="3" t="s">
        <v>2095</v>
      </c>
      <c r="H662" s="2" t="str">
        <f>"2012"</f>
        <v>2012</v>
      </c>
      <c r="I662" t="s">
        <v>14</v>
      </c>
      <c r="J662" t="s">
        <v>15</v>
      </c>
    </row>
    <row r="663" spans="1:10">
      <c r="A663" s="2" t="str">
        <f>"660"</f>
        <v>660</v>
      </c>
      <c r="B663" s="2" t="s">
        <v>9</v>
      </c>
      <c r="C663" s="2" t="str">
        <f>"1 (1)"</f>
        <v>1 (1)</v>
      </c>
      <c r="D663" s="2" t="s">
        <v>2096</v>
      </c>
      <c r="E663" s="5" t="s">
        <v>2097</v>
      </c>
      <c r="F663" s="3" t="s">
        <v>2098</v>
      </c>
      <c r="G663" s="3" t="s">
        <v>1925</v>
      </c>
      <c r="H663" s="2" t="str">
        <f>"2012"</f>
        <v>2012</v>
      </c>
      <c r="I663" t="s">
        <v>14</v>
      </c>
      <c r="J663" t="s">
        <v>15</v>
      </c>
    </row>
    <row r="664" spans="1:10">
      <c r="A664" s="2" t="str">
        <f>"661"</f>
        <v>661</v>
      </c>
      <c r="B664" s="2" t="s">
        <v>9</v>
      </c>
      <c r="C664" s="2" t="str">
        <f>"1 (1)"</f>
        <v>1 (1)</v>
      </c>
      <c r="D664" s="2" t="s">
        <v>2099</v>
      </c>
      <c r="E664" s="5" t="s">
        <v>2100</v>
      </c>
      <c r="F664" s="3" t="s">
        <v>2101</v>
      </c>
      <c r="G664" s="3" t="s">
        <v>2102</v>
      </c>
      <c r="H664" s="2" t="str">
        <f>"2012"</f>
        <v>2012</v>
      </c>
      <c r="I664" t="s">
        <v>14</v>
      </c>
      <c r="J664" t="s">
        <v>15</v>
      </c>
    </row>
    <row r="665" spans="1:10">
      <c r="A665" s="2" t="str">
        <f>"662"</f>
        <v>662</v>
      </c>
      <c r="B665" s="2" t="s">
        <v>9</v>
      </c>
      <c r="C665" s="2" t="str">
        <f>"1 (1)"</f>
        <v>1 (1)</v>
      </c>
      <c r="D665" s="2" t="s">
        <v>2103</v>
      </c>
      <c r="E665" s="5" t="s">
        <v>2104</v>
      </c>
      <c r="F665" s="3" t="s">
        <v>2105</v>
      </c>
      <c r="G665" s="3" t="s">
        <v>2106</v>
      </c>
      <c r="H665" s="2" t="str">
        <f>"2012"</f>
        <v>2012</v>
      </c>
      <c r="I665" t="s">
        <v>14</v>
      </c>
      <c r="J665" t="s">
        <v>15</v>
      </c>
    </row>
    <row r="666" spans="1:10">
      <c r="A666" s="2" t="str">
        <f>"663"</f>
        <v>663</v>
      </c>
      <c r="B666" s="2" t="s">
        <v>9</v>
      </c>
      <c r="C666" s="2" t="str">
        <f>"1 (1)"</f>
        <v>1 (1)</v>
      </c>
      <c r="D666" s="2" t="s">
        <v>2107</v>
      </c>
      <c r="E666" s="5" t="s">
        <v>2108</v>
      </c>
      <c r="F666" s="3" t="s">
        <v>2109</v>
      </c>
      <c r="G666" s="3" t="s">
        <v>2110</v>
      </c>
      <c r="H666" s="2" t="str">
        <f>"2012"</f>
        <v>2012</v>
      </c>
      <c r="I666" t="s">
        <v>14</v>
      </c>
      <c r="J666" t="s">
        <v>15</v>
      </c>
    </row>
    <row r="667" spans="1:10">
      <c r="A667" s="2" t="str">
        <f>"664"</f>
        <v>664</v>
      </c>
      <c r="B667" s="2" t="s">
        <v>9</v>
      </c>
      <c r="C667" s="2" t="str">
        <f>"1 (1)"</f>
        <v>1 (1)</v>
      </c>
      <c r="D667" s="2" t="s">
        <v>2111</v>
      </c>
      <c r="E667" s="5" t="s">
        <v>2112</v>
      </c>
      <c r="F667" s="3" t="s">
        <v>2113</v>
      </c>
      <c r="G667" s="3" t="s">
        <v>2114</v>
      </c>
      <c r="H667" s="2" t="str">
        <f>"2012"</f>
        <v>2012</v>
      </c>
      <c r="I667" t="s">
        <v>14</v>
      </c>
      <c r="J667" t="s">
        <v>15</v>
      </c>
    </row>
    <row r="668" spans="1:10">
      <c r="A668" s="2" t="str">
        <f>"665"</f>
        <v>665</v>
      </c>
      <c r="B668" s="2" t="s">
        <v>9</v>
      </c>
      <c r="C668" s="2" t="str">
        <f>"1 (1)"</f>
        <v>1 (1)</v>
      </c>
      <c r="D668" s="2" t="s">
        <v>2115</v>
      </c>
      <c r="E668" s="5" t="s">
        <v>2116</v>
      </c>
      <c r="F668" s="3" t="s">
        <v>2117</v>
      </c>
      <c r="G668" s="3" t="s">
        <v>2118</v>
      </c>
      <c r="H668" s="2" t="str">
        <f>"2012"</f>
        <v>2012</v>
      </c>
      <c r="I668" t="s">
        <v>14</v>
      </c>
      <c r="J668" t="s">
        <v>15</v>
      </c>
    </row>
    <row r="669" spans="1:10">
      <c r="A669" s="2" t="str">
        <f>"666"</f>
        <v>666</v>
      </c>
      <c r="B669" s="2" t="s">
        <v>9</v>
      </c>
      <c r="C669" s="2" t="str">
        <f>"1 (1)"</f>
        <v>1 (1)</v>
      </c>
      <c r="D669" s="2" t="s">
        <v>2119</v>
      </c>
      <c r="E669" s="5" t="s">
        <v>2120</v>
      </c>
      <c r="F669" s="3" t="s">
        <v>2121</v>
      </c>
      <c r="G669" s="3" t="s">
        <v>2122</v>
      </c>
      <c r="H669" s="2" t="str">
        <f>"2012"</f>
        <v>2012</v>
      </c>
      <c r="I669" t="s">
        <v>14</v>
      </c>
      <c r="J669" t="s">
        <v>15</v>
      </c>
    </row>
    <row r="670" spans="1:10">
      <c r="A670" s="2" t="str">
        <f>"667"</f>
        <v>667</v>
      </c>
      <c r="B670" s="2" t="s">
        <v>9</v>
      </c>
      <c r="C670" s="2" t="str">
        <f>"1 (1)"</f>
        <v>1 (1)</v>
      </c>
      <c r="D670" s="2" t="s">
        <v>2123</v>
      </c>
      <c r="E670" s="5" t="s">
        <v>2124</v>
      </c>
      <c r="F670" s="3" t="s">
        <v>2125</v>
      </c>
      <c r="G670" s="3" t="s">
        <v>2126</v>
      </c>
      <c r="H670" s="2" t="str">
        <f>"2011"</f>
        <v>2011</v>
      </c>
      <c r="I670" t="s">
        <v>14</v>
      </c>
      <c r="J670" t="s">
        <v>15</v>
      </c>
    </row>
    <row r="671" spans="1:10">
      <c r="A671" s="2" t="str">
        <f>"668"</f>
        <v>668</v>
      </c>
      <c r="B671" s="2" t="s">
        <v>9</v>
      </c>
      <c r="C671" s="2" t="str">
        <f>"1 (1)"</f>
        <v>1 (1)</v>
      </c>
      <c r="D671" s="2" t="s">
        <v>2127</v>
      </c>
      <c r="E671" s="5" t="s">
        <v>2128</v>
      </c>
      <c r="F671" s="3" t="s">
        <v>2129</v>
      </c>
      <c r="G671" s="3" t="s">
        <v>1991</v>
      </c>
      <c r="H671" s="2" t="str">
        <f>"2012"</f>
        <v>2012</v>
      </c>
      <c r="I671" t="s">
        <v>14</v>
      </c>
      <c r="J671" t="s">
        <v>15</v>
      </c>
    </row>
    <row r="672" spans="1:10">
      <c r="A672" s="2" t="str">
        <f>"669"</f>
        <v>669</v>
      </c>
      <c r="B672" s="2" t="s">
        <v>9</v>
      </c>
      <c r="C672" s="2" t="str">
        <f>"1 (1)"</f>
        <v>1 (1)</v>
      </c>
      <c r="D672" s="2" t="s">
        <v>2130</v>
      </c>
      <c r="E672" s="5" t="s">
        <v>2131</v>
      </c>
      <c r="F672" s="3" t="s">
        <v>2132</v>
      </c>
      <c r="G672" s="3" t="s">
        <v>2133</v>
      </c>
      <c r="H672" s="2" t="str">
        <f>"2012"</f>
        <v>2012</v>
      </c>
      <c r="I672" t="s">
        <v>14</v>
      </c>
      <c r="J672" t="s">
        <v>15</v>
      </c>
    </row>
    <row r="673" spans="1:10">
      <c r="A673" s="2" t="str">
        <f>"670"</f>
        <v>670</v>
      </c>
      <c r="B673" s="2" t="s">
        <v>9</v>
      </c>
      <c r="C673" s="2" t="str">
        <f>"1 (1)"</f>
        <v>1 (1)</v>
      </c>
      <c r="D673" s="2" t="s">
        <v>2134</v>
      </c>
      <c r="E673" s="5" t="s">
        <v>2135</v>
      </c>
      <c r="F673" s="3" t="s">
        <v>2136</v>
      </c>
      <c r="G673" s="3" t="s">
        <v>972</v>
      </c>
      <c r="H673" s="2" t="str">
        <f>"2012"</f>
        <v>2012</v>
      </c>
      <c r="I673" t="s">
        <v>14</v>
      </c>
      <c r="J673" t="s">
        <v>15</v>
      </c>
    </row>
    <row r="674" spans="1:10">
      <c r="A674" s="2" t="str">
        <f>"671"</f>
        <v>671</v>
      </c>
      <c r="B674" s="2" t="s">
        <v>9</v>
      </c>
      <c r="C674" s="2" t="str">
        <f>"1 (1)"</f>
        <v>1 (1)</v>
      </c>
      <c r="D674" s="2" t="s">
        <v>2137</v>
      </c>
      <c r="E674" s="5" t="s">
        <v>2138</v>
      </c>
      <c r="F674" s="3" t="s">
        <v>2139</v>
      </c>
      <c r="G674" s="3" t="s">
        <v>2140</v>
      </c>
      <c r="H674" s="2" t="str">
        <f>"2012"</f>
        <v>2012</v>
      </c>
      <c r="I674" t="s">
        <v>14</v>
      </c>
      <c r="J674" t="s">
        <v>15</v>
      </c>
    </row>
    <row r="675" spans="1:10">
      <c r="A675" s="2" t="str">
        <f>"672"</f>
        <v>672</v>
      </c>
      <c r="B675" s="2" t="s">
        <v>9</v>
      </c>
      <c r="C675" s="2" t="str">
        <f>"1 (1)"</f>
        <v>1 (1)</v>
      </c>
      <c r="D675" s="2" t="s">
        <v>2141</v>
      </c>
      <c r="E675" s="5" t="s">
        <v>2142</v>
      </c>
      <c r="F675" s="3" t="s">
        <v>2143</v>
      </c>
      <c r="G675" s="3" t="s">
        <v>2144</v>
      </c>
      <c r="H675" s="2" t="str">
        <f>"2008"</f>
        <v>2008</v>
      </c>
      <c r="I675" t="s">
        <v>14</v>
      </c>
      <c r="J675" t="s">
        <v>15</v>
      </c>
    </row>
    <row r="676" spans="1:10">
      <c r="A676" s="2" t="str">
        <f>"673"</f>
        <v>673</v>
      </c>
      <c r="B676" s="2" t="s">
        <v>9</v>
      </c>
      <c r="C676" s="2" t="str">
        <f>"1 (1)"</f>
        <v>1 (1)</v>
      </c>
      <c r="D676" s="2" t="s">
        <v>2145</v>
      </c>
      <c r="E676" s="5" t="s">
        <v>2146</v>
      </c>
      <c r="F676" s="3" t="s">
        <v>2147</v>
      </c>
      <c r="G676" s="3" t="s">
        <v>2148</v>
      </c>
      <c r="H676" s="2" t="str">
        <f>"2012"</f>
        <v>2012</v>
      </c>
      <c r="I676" t="s">
        <v>14</v>
      </c>
      <c r="J676" t="s">
        <v>15</v>
      </c>
    </row>
    <row r="677" spans="1:10">
      <c r="A677" s="2" t="str">
        <f>"674"</f>
        <v>674</v>
      </c>
      <c r="B677" s="2" t="s">
        <v>9</v>
      </c>
      <c r="C677" s="2" t="str">
        <f>"1 (1)"</f>
        <v>1 (1)</v>
      </c>
      <c r="D677" s="2" t="s">
        <v>2149</v>
      </c>
      <c r="E677" s="5" t="s">
        <v>2150</v>
      </c>
      <c r="F677" s="3" t="s">
        <v>2151</v>
      </c>
      <c r="G677" s="3" t="s">
        <v>2152</v>
      </c>
      <c r="H677" s="2" t="str">
        <f>"2012"</f>
        <v>2012</v>
      </c>
      <c r="I677" t="s">
        <v>14</v>
      </c>
      <c r="J677" t="s">
        <v>15</v>
      </c>
    </row>
    <row r="678" spans="1:10">
      <c r="A678" s="2" t="str">
        <f>"675"</f>
        <v>675</v>
      </c>
      <c r="B678" s="2" t="s">
        <v>9</v>
      </c>
      <c r="C678" s="2" t="str">
        <f>"1 (1)"</f>
        <v>1 (1)</v>
      </c>
      <c r="D678" s="2" t="s">
        <v>2153</v>
      </c>
      <c r="E678" s="5" t="s">
        <v>2154</v>
      </c>
      <c r="F678" s="3" t="s">
        <v>2155</v>
      </c>
      <c r="G678" s="3" t="s">
        <v>2156</v>
      </c>
      <c r="H678" s="2" t="str">
        <f>"2012"</f>
        <v>2012</v>
      </c>
      <c r="I678" t="s">
        <v>14</v>
      </c>
      <c r="J678" t="s">
        <v>15</v>
      </c>
    </row>
    <row r="679" spans="1:10">
      <c r="A679" s="2" t="str">
        <f>"676"</f>
        <v>676</v>
      </c>
      <c r="B679" s="2" t="s">
        <v>9</v>
      </c>
      <c r="C679" s="2" t="str">
        <f>"1 (1)"</f>
        <v>1 (1)</v>
      </c>
      <c r="D679" s="2" t="s">
        <v>2157</v>
      </c>
      <c r="E679" s="5" t="s">
        <v>2158</v>
      </c>
      <c r="F679" s="3" t="s">
        <v>2159</v>
      </c>
      <c r="G679" s="3" t="s">
        <v>2160</v>
      </c>
      <c r="H679" s="2" t="str">
        <f>"2012"</f>
        <v>2012</v>
      </c>
      <c r="I679" t="s">
        <v>14</v>
      </c>
      <c r="J679" t="s">
        <v>15</v>
      </c>
    </row>
    <row r="680" spans="1:10">
      <c r="A680" s="2" t="str">
        <f>"677"</f>
        <v>677</v>
      </c>
      <c r="B680" s="2" t="s">
        <v>9</v>
      </c>
      <c r="C680" s="2" t="str">
        <f>"1 (1)"</f>
        <v>1 (1)</v>
      </c>
      <c r="D680" s="2" t="s">
        <v>2161</v>
      </c>
      <c r="E680" s="5" t="s">
        <v>2162</v>
      </c>
      <c r="F680" s="3" t="s">
        <v>2163</v>
      </c>
      <c r="G680" s="3" t="s">
        <v>2164</v>
      </c>
      <c r="H680" s="2" t="str">
        <f>"2012"</f>
        <v>2012</v>
      </c>
      <c r="I680" t="s">
        <v>14</v>
      </c>
      <c r="J680" t="s">
        <v>15</v>
      </c>
    </row>
    <row r="681" spans="1:10">
      <c r="A681" s="2" t="str">
        <f>"678"</f>
        <v>678</v>
      </c>
      <c r="B681" s="2" t="s">
        <v>9</v>
      </c>
      <c r="C681" s="2" t="str">
        <f>"1 (1)"</f>
        <v>1 (1)</v>
      </c>
      <c r="D681" s="2" t="s">
        <v>2165</v>
      </c>
      <c r="E681" s="5" t="s">
        <v>2166</v>
      </c>
      <c r="F681" s="3" t="s">
        <v>2167</v>
      </c>
      <c r="G681" s="3" t="s">
        <v>2168</v>
      </c>
      <c r="H681" s="2" t="str">
        <f>"2012"</f>
        <v>2012</v>
      </c>
      <c r="I681" t="s">
        <v>14</v>
      </c>
      <c r="J681" t="s">
        <v>15</v>
      </c>
    </row>
    <row r="682" spans="1:10">
      <c r="A682" s="2" t="str">
        <f>"679"</f>
        <v>679</v>
      </c>
      <c r="B682" s="2" t="s">
        <v>9</v>
      </c>
      <c r="C682" s="2" t="str">
        <f>"1 (1)"</f>
        <v>1 (1)</v>
      </c>
      <c r="D682" s="2" t="s">
        <v>2169</v>
      </c>
      <c r="E682" s="5" t="s">
        <v>2170</v>
      </c>
      <c r="F682" s="3" t="s">
        <v>2171</v>
      </c>
      <c r="G682" s="3" t="s">
        <v>2172</v>
      </c>
      <c r="H682" s="2" t="str">
        <f>"2012"</f>
        <v>2012</v>
      </c>
      <c r="I682" t="s">
        <v>14</v>
      </c>
      <c r="J682" t="s">
        <v>15</v>
      </c>
    </row>
    <row r="683" spans="1:10">
      <c r="A683" s="2" t="str">
        <f>"680"</f>
        <v>680</v>
      </c>
      <c r="B683" s="2" t="s">
        <v>9</v>
      </c>
      <c r="C683" s="2" t="str">
        <f>"1 (1)"</f>
        <v>1 (1)</v>
      </c>
      <c r="D683" s="2" t="s">
        <v>2173</v>
      </c>
      <c r="E683" s="5" t="s">
        <v>2174</v>
      </c>
      <c r="F683" s="3" t="s">
        <v>2175</v>
      </c>
      <c r="G683" s="3" t="s">
        <v>2176</v>
      </c>
      <c r="H683" s="2" t="str">
        <f>"1998"</f>
        <v>1998</v>
      </c>
      <c r="I683" t="s">
        <v>14</v>
      </c>
      <c r="J683" t="s">
        <v>15</v>
      </c>
    </row>
    <row r="684" spans="1:10">
      <c r="A684" s="2" t="str">
        <f>"681"</f>
        <v>681</v>
      </c>
      <c r="B684" s="2" t="s">
        <v>9</v>
      </c>
      <c r="C684" s="2" t="str">
        <f>"1 (1)"</f>
        <v>1 (1)</v>
      </c>
      <c r="D684" s="2" t="s">
        <v>2177</v>
      </c>
      <c r="E684" s="5" t="s">
        <v>2178</v>
      </c>
      <c r="F684" s="3" t="s">
        <v>2179</v>
      </c>
      <c r="G684" s="3" t="s">
        <v>2176</v>
      </c>
      <c r="H684" s="2" t="str">
        <f>"2007"</f>
        <v>2007</v>
      </c>
      <c r="I684" t="s">
        <v>14</v>
      </c>
      <c r="J684" t="s">
        <v>15</v>
      </c>
    </row>
    <row r="685" spans="1:10">
      <c r="A685" s="2" t="str">
        <f>"682"</f>
        <v>682</v>
      </c>
      <c r="B685" s="2" t="s">
        <v>9</v>
      </c>
      <c r="C685" s="2" t="str">
        <f>"1 (1)"</f>
        <v>1 (1)</v>
      </c>
      <c r="D685" s="2" t="s">
        <v>2180</v>
      </c>
      <c r="E685" s="5" t="s">
        <v>2181</v>
      </c>
      <c r="F685" s="3" t="s">
        <v>2182</v>
      </c>
      <c r="G685" s="3" t="s">
        <v>2176</v>
      </c>
      <c r="H685" s="2" t="str">
        <f>"1998"</f>
        <v>1998</v>
      </c>
      <c r="I685" t="s">
        <v>14</v>
      </c>
      <c r="J685" t="s">
        <v>15</v>
      </c>
    </row>
    <row r="686" spans="1:10">
      <c r="A686" s="2" t="str">
        <f>"683"</f>
        <v>683</v>
      </c>
      <c r="B686" s="2" t="s">
        <v>9</v>
      </c>
      <c r="C686" s="2" t="str">
        <f>"1 (1)"</f>
        <v>1 (1)</v>
      </c>
      <c r="D686" s="2" t="s">
        <v>2183</v>
      </c>
      <c r="E686" s="5" t="s">
        <v>2184</v>
      </c>
      <c r="F686" s="3" t="s">
        <v>2185</v>
      </c>
      <c r="G686" s="3" t="s">
        <v>2176</v>
      </c>
      <c r="H686" s="2" t="str">
        <f>"1998"</f>
        <v>1998</v>
      </c>
      <c r="I686" t="s">
        <v>14</v>
      </c>
      <c r="J686" t="s">
        <v>15</v>
      </c>
    </row>
    <row r="687" spans="1:10">
      <c r="A687" s="2" t="str">
        <f>"684"</f>
        <v>684</v>
      </c>
      <c r="B687" s="2" t="s">
        <v>9</v>
      </c>
      <c r="C687" s="2" t="str">
        <f>"1 (1)"</f>
        <v>1 (1)</v>
      </c>
      <c r="D687" s="2" t="s">
        <v>2186</v>
      </c>
      <c r="E687" s="5" t="s">
        <v>2187</v>
      </c>
      <c r="F687" s="3" t="s">
        <v>2185</v>
      </c>
      <c r="G687" s="3" t="s">
        <v>2176</v>
      </c>
      <c r="H687" s="2" t="str">
        <f>"1999"</f>
        <v>1999</v>
      </c>
      <c r="I687" t="s">
        <v>14</v>
      </c>
      <c r="J687" t="s">
        <v>15</v>
      </c>
    </row>
    <row r="688" spans="1:10">
      <c r="A688" s="2" t="str">
        <f>"685"</f>
        <v>685</v>
      </c>
      <c r="B688" s="2" t="s">
        <v>9</v>
      </c>
      <c r="C688" s="2" t="str">
        <f>"1 (1)"</f>
        <v>1 (1)</v>
      </c>
      <c r="D688" s="2" t="s">
        <v>2188</v>
      </c>
      <c r="E688" s="5" t="s">
        <v>2189</v>
      </c>
      <c r="F688" s="3" t="s">
        <v>2190</v>
      </c>
      <c r="G688" s="3" t="s">
        <v>2176</v>
      </c>
      <c r="H688" s="2" t="str">
        <f>"1999"</f>
        <v>1999</v>
      </c>
      <c r="I688" t="s">
        <v>14</v>
      </c>
      <c r="J688" t="s">
        <v>15</v>
      </c>
    </row>
    <row r="689" spans="1:10">
      <c r="A689" s="2" t="str">
        <f>"686"</f>
        <v>686</v>
      </c>
      <c r="B689" s="2" t="s">
        <v>9</v>
      </c>
      <c r="C689" s="2" t="str">
        <f>"1 (1)"</f>
        <v>1 (1)</v>
      </c>
      <c r="D689" s="2" t="s">
        <v>2191</v>
      </c>
      <c r="E689" s="5" t="s">
        <v>2192</v>
      </c>
      <c r="F689" s="3" t="s">
        <v>2190</v>
      </c>
      <c r="G689" s="3" t="s">
        <v>2176</v>
      </c>
      <c r="H689" s="2" t="str">
        <f>"1999"</f>
        <v>1999</v>
      </c>
      <c r="I689" t="s">
        <v>14</v>
      </c>
      <c r="J689" t="s">
        <v>15</v>
      </c>
    </row>
    <row r="690" spans="1:10">
      <c r="A690" s="2" t="str">
        <f>"687"</f>
        <v>687</v>
      </c>
      <c r="B690" s="2" t="s">
        <v>9</v>
      </c>
      <c r="C690" s="2" t="str">
        <f>"1 (1)"</f>
        <v>1 (1)</v>
      </c>
      <c r="D690" s="2" t="s">
        <v>2193</v>
      </c>
      <c r="E690" s="5" t="s">
        <v>2194</v>
      </c>
      <c r="F690" s="3" t="s">
        <v>2195</v>
      </c>
      <c r="G690" s="3" t="s">
        <v>2176</v>
      </c>
      <c r="H690" s="2" t="str">
        <f>"1999"</f>
        <v>1999</v>
      </c>
      <c r="I690" t="s">
        <v>14</v>
      </c>
      <c r="J690" t="s">
        <v>15</v>
      </c>
    </row>
    <row r="691" spans="1:10">
      <c r="A691" s="2" t="str">
        <f>"688"</f>
        <v>688</v>
      </c>
      <c r="B691" s="2" t="s">
        <v>9</v>
      </c>
      <c r="C691" s="2" t="str">
        <f>"1 (1)"</f>
        <v>1 (1)</v>
      </c>
      <c r="D691" s="2" t="s">
        <v>2196</v>
      </c>
      <c r="E691" s="5" t="s">
        <v>2197</v>
      </c>
      <c r="F691" s="3" t="s">
        <v>2198</v>
      </c>
      <c r="G691" s="3" t="s">
        <v>2176</v>
      </c>
      <c r="H691" s="2" t="str">
        <f>"1999"</f>
        <v>1999</v>
      </c>
      <c r="I691" t="s">
        <v>14</v>
      </c>
      <c r="J691" t="s">
        <v>15</v>
      </c>
    </row>
    <row r="692" spans="1:10">
      <c r="A692" s="2" t="str">
        <f>"689"</f>
        <v>689</v>
      </c>
      <c r="B692" s="2" t="s">
        <v>9</v>
      </c>
      <c r="C692" s="2" t="str">
        <f>"1 (1)"</f>
        <v>1 (1)</v>
      </c>
      <c r="D692" s="2" t="s">
        <v>2199</v>
      </c>
      <c r="E692" s="5" t="s">
        <v>2200</v>
      </c>
      <c r="F692" s="3" t="s">
        <v>2198</v>
      </c>
      <c r="G692" s="3" t="s">
        <v>2176</v>
      </c>
      <c r="H692" s="2" t="str">
        <f>"1999"</f>
        <v>1999</v>
      </c>
      <c r="I692" t="s">
        <v>14</v>
      </c>
      <c r="J692" t="s">
        <v>15</v>
      </c>
    </row>
    <row r="693" spans="1:10">
      <c r="A693" s="2" t="str">
        <f>"690"</f>
        <v>690</v>
      </c>
      <c r="B693" s="2" t="s">
        <v>9</v>
      </c>
      <c r="C693" s="2" t="str">
        <f>"1 (1)"</f>
        <v>1 (1)</v>
      </c>
      <c r="D693" s="2" t="s">
        <v>2201</v>
      </c>
      <c r="E693" s="5" t="s">
        <v>2202</v>
      </c>
      <c r="F693" s="3" t="s">
        <v>2203</v>
      </c>
      <c r="G693" s="3" t="s">
        <v>2176</v>
      </c>
      <c r="H693" s="2" t="str">
        <f>"2000"</f>
        <v>2000</v>
      </c>
      <c r="I693" t="s">
        <v>14</v>
      </c>
      <c r="J693" t="s">
        <v>15</v>
      </c>
    </row>
    <row r="694" spans="1:10">
      <c r="A694" s="2" t="str">
        <f>"691"</f>
        <v>691</v>
      </c>
      <c r="B694" s="2" t="s">
        <v>9</v>
      </c>
      <c r="C694" s="2" t="str">
        <f>"1 (1)"</f>
        <v>1 (1)</v>
      </c>
      <c r="D694" s="2" t="s">
        <v>2204</v>
      </c>
      <c r="E694" s="5" t="s">
        <v>2205</v>
      </c>
      <c r="F694" s="3" t="s">
        <v>2206</v>
      </c>
      <c r="G694" s="3" t="s">
        <v>2176</v>
      </c>
      <c r="H694" s="2" t="str">
        <f>"2002"</f>
        <v>2002</v>
      </c>
      <c r="I694" t="s">
        <v>14</v>
      </c>
      <c r="J694" t="s">
        <v>15</v>
      </c>
    </row>
    <row r="695" spans="1:10">
      <c r="A695" s="2" t="str">
        <f>"692"</f>
        <v>692</v>
      </c>
      <c r="B695" s="2" t="s">
        <v>9</v>
      </c>
      <c r="C695" s="2" t="str">
        <f>"1 (1)"</f>
        <v>1 (1)</v>
      </c>
      <c r="D695" s="2" t="s">
        <v>2207</v>
      </c>
      <c r="E695" s="5" t="s">
        <v>2208</v>
      </c>
      <c r="F695" s="3" t="s">
        <v>2209</v>
      </c>
      <c r="G695" s="3" t="s">
        <v>2176</v>
      </c>
      <c r="H695" s="2" t="str">
        <f>"2003"</f>
        <v>2003</v>
      </c>
      <c r="I695" t="s">
        <v>14</v>
      </c>
      <c r="J695" t="s">
        <v>15</v>
      </c>
    </row>
    <row r="696" spans="1:10">
      <c r="A696" s="2" t="str">
        <f>"693"</f>
        <v>693</v>
      </c>
      <c r="B696" s="2" t="s">
        <v>9</v>
      </c>
      <c r="C696" s="2" t="str">
        <f>"1 (1)"</f>
        <v>1 (1)</v>
      </c>
      <c r="D696" s="2" t="s">
        <v>2210</v>
      </c>
      <c r="E696" s="5" t="s">
        <v>2211</v>
      </c>
      <c r="F696" s="3" t="s">
        <v>2212</v>
      </c>
      <c r="G696" s="3" t="s">
        <v>2176</v>
      </c>
      <c r="H696" s="2" t="str">
        <f>"2003"</f>
        <v>2003</v>
      </c>
      <c r="I696" t="s">
        <v>14</v>
      </c>
      <c r="J696" t="s">
        <v>15</v>
      </c>
    </row>
    <row r="697" spans="1:10">
      <c r="A697" s="2" t="str">
        <f>"694"</f>
        <v>694</v>
      </c>
      <c r="B697" s="2" t="s">
        <v>9</v>
      </c>
      <c r="C697" s="2" t="str">
        <f>"1 (1)"</f>
        <v>1 (1)</v>
      </c>
      <c r="D697" s="2" t="s">
        <v>2213</v>
      </c>
      <c r="E697" s="5" t="str">
        <f>"1984"</f>
        <v>1984</v>
      </c>
      <c r="F697" s="3" t="s">
        <v>2214</v>
      </c>
      <c r="G697" s="3" t="s">
        <v>2176</v>
      </c>
      <c r="H697" s="2" t="str">
        <f>"2007"</f>
        <v>2007</v>
      </c>
      <c r="I697" t="s">
        <v>14</v>
      </c>
      <c r="J697" t="s">
        <v>15</v>
      </c>
    </row>
    <row r="698" spans="1:10">
      <c r="A698" s="2" t="str">
        <f>"695"</f>
        <v>695</v>
      </c>
      <c r="B698" s="2" t="s">
        <v>9</v>
      </c>
      <c r="C698" s="2" t="str">
        <f>"1 (1)"</f>
        <v>1 (1)</v>
      </c>
      <c r="D698" s="2" t="s">
        <v>2215</v>
      </c>
      <c r="E698" s="5" t="s">
        <v>2216</v>
      </c>
      <c r="F698" s="3" t="s">
        <v>2217</v>
      </c>
      <c r="G698" s="3" t="s">
        <v>2176</v>
      </c>
      <c r="H698" s="2" t="str">
        <f>"2003"</f>
        <v>2003</v>
      </c>
      <c r="I698" t="s">
        <v>14</v>
      </c>
      <c r="J698" t="s">
        <v>15</v>
      </c>
    </row>
    <row r="699" spans="1:10">
      <c r="A699" s="2" t="str">
        <f>"696"</f>
        <v>696</v>
      </c>
      <c r="B699" s="2" t="s">
        <v>9</v>
      </c>
      <c r="C699" s="2" t="str">
        <f>"1 (1)"</f>
        <v>1 (1)</v>
      </c>
      <c r="D699" s="2" t="s">
        <v>2218</v>
      </c>
      <c r="E699" s="5" t="s">
        <v>2219</v>
      </c>
      <c r="F699" s="3" t="s">
        <v>2220</v>
      </c>
      <c r="G699" s="3" t="s">
        <v>2176</v>
      </c>
      <c r="H699" s="2" t="str">
        <f>"2003"</f>
        <v>2003</v>
      </c>
      <c r="I699" t="s">
        <v>14</v>
      </c>
      <c r="J699" t="s">
        <v>15</v>
      </c>
    </row>
    <row r="700" spans="1:10">
      <c r="A700" s="2" t="str">
        <f>"697"</f>
        <v>697</v>
      </c>
      <c r="B700" s="2" t="s">
        <v>9</v>
      </c>
      <c r="C700" s="2" t="str">
        <f>"1 (1)"</f>
        <v>1 (1)</v>
      </c>
      <c r="D700" s="2" t="s">
        <v>2221</v>
      </c>
      <c r="E700" s="5" t="s">
        <v>2222</v>
      </c>
      <c r="F700" s="3" t="s">
        <v>2220</v>
      </c>
      <c r="G700" s="3" t="s">
        <v>2176</v>
      </c>
      <c r="H700" s="2" t="str">
        <f>"2003"</f>
        <v>2003</v>
      </c>
      <c r="I700" t="s">
        <v>14</v>
      </c>
      <c r="J700" t="s">
        <v>15</v>
      </c>
    </row>
    <row r="701" spans="1:10">
      <c r="A701" s="2" t="str">
        <f>"698"</f>
        <v>698</v>
      </c>
      <c r="B701" s="2" t="s">
        <v>9</v>
      </c>
      <c r="C701" s="2" t="str">
        <f>"1 (1)"</f>
        <v>1 (1)</v>
      </c>
      <c r="D701" s="2" t="s">
        <v>2223</v>
      </c>
      <c r="E701" s="5" t="s">
        <v>2224</v>
      </c>
      <c r="F701" s="3" t="s">
        <v>2225</v>
      </c>
      <c r="G701" s="3" t="s">
        <v>2176</v>
      </c>
      <c r="H701" s="2" t="str">
        <f>"2004"</f>
        <v>2004</v>
      </c>
      <c r="I701" t="s">
        <v>14</v>
      </c>
      <c r="J701" t="s">
        <v>15</v>
      </c>
    </row>
    <row r="702" spans="1:10">
      <c r="A702" s="2" t="str">
        <f>"699"</f>
        <v>699</v>
      </c>
      <c r="B702" s="2" t="s">
        <v>9</v>
      </c>
      <c r="C702" s="2" t="str">
        <f>"1 (1)"</f>
        <v>1 (1)</v>
      </c>
      <c r="D702" s="2" t="s">
        <v>2226</v>
      </c>
      <c r="E702" s="5" t="s">
        <v>2227</v>
      </c>
      <c r="F702" s="3" t="s">
        <v>2228</v>
      </c>
      <c r="G702" s="3" t="s">
        <v>2176</v>
      </c>
      <c r="H702" s="2" t="str">
        <f>"2004"</f>
        <v>2004</v>
      </c>
      <c r="I702" t="s">
        <v>14</v>
      </c>
      <c r="J702" t="s">
        <v>15</v>
      </c>
    </row>
    <row r="703" spans="1:10">
      <c r="A703" s="2" t="str">
        <f>"700"</f>
        <v>700</v>
      </c>
      <c r="B703" s="2" t="s">
        <v>9</v>
      </c>
      <c r="C703" s="2" t="str">
        <f>"1 (1)"</f>
        <v>1 (1)</v>
      </c>
      <c r="D703" s="2" t="s">
        <v>2229</v>
      </c>
      <c r="E703" s="5" t="s">
        <v>2230</v>
      </c>
      <c r="F703" s="3" t="s">
        <v>2231</v>
      </c>
      <c r="G703" s="3" t="s">
        <v>2176</v>
      </c>
      <c r="H703" s="2" t="str">
        <f>"2005"</f>
        <v>2005</v>
      </c>
      <c r="I703" t="s">
        <v>14</v>
      </c>
      <c r="J703" t="s">
        <v>15</v>
      </c>
    </row>
    <row r="704" spans="1:10">
      <c r="A704" s="2" t="str">
        <f>"701"</f>
        <v>701</v>
      </c>
      <c r="B704" s="2" t="s">
        <v>9</v>
      </c>
      <c r="C704" s="2" t="str">
        <f>"1 (1)"</f>
        <v>1 (1)</v>
      </c>
      <c r="D704" s="2" t="s">
        <v>2232</v>
      </c>
      <c r="E704" s="5" t="s">
        <v>2233</v>
      </c>
      <c r="F704" s="3" t="s">
        <v>2234</v>
      </c>
      <c r="G704" s="3" t="s">
        <v>2176</v>
      </c>
      <c r="H704" s="2" t="str">
        <f>"2005"</f>
        <v>2005</v>
      </c>
      <c r="I704" t="s">
        <v>14</v>
      </c>
      <c r="J704" t="s">
        <v>15</v>
      </c>
    </row>
    <row r="705" spans="1:10">
      <c r="A705" s="2" t="str">
        <f>"702"</f>
        <v>702</v>
      </c>
      <c r="B705" s="2" t="s">
        <v>9</v>
      </c>
      <c r="C705" s="2" t="str">
        <f>"1 (1)"</f>
        <v>1 (1)</v>
      </c>
      <c r="D705" s="2" t="s">
        <v>2235</v>
      </c>
      <c r="E705" s="5" t="s">
        <v>2236</v>
      </c>
      <c r="F705" s="3" t="s">
        <v>2237</v>
      </c>
      <c r="G705" s="3" t="s">
        <v>2176</v>
      </c>
      <c r="H705" s="2" t="str">
        <f>"2007"</f>
        <v>2007</v>
      </c>
      <c r="I705" t="s">
        <v>14</v>
      </c>
      <c r="J705" t="s">
        <v>15</v>
      </c>
    </row>
    <row r="706" spans="1:10">
      <c r="A706" s="2" t="str">
        <f>"703"</f>
        <v>703</v>
      </c>
      <c r="B706" s="2" t="s">
        <v>9</v>
      </c>
      <c r="C706" s="2" t="str">
        <f>"1 (1)"</f>
        <v>1 (1)</v>
      </c>
      <c r="D706" s="2" t="s">
        <v>2238</v>
      </c>
      <c r="E706" s="5" t="s">
        <v>2239</v>
      </c>
      <c r="F706" s="3" t="s">
        <v>2240</v>
      </c>
      <c r="G706" s="3" t="s">
        <v>2176</v>
      </c>
      <c r="H706" s="2" t="str">
        <f>"2007"</f>
        <v>2007</v>
      </c>
      <c r="I706" t="s">
        <v>14</v>
      </c>
      <c r="J706" t="s">
        <v>15</v>
      </c>
    </row>
    <row r="707" spans="1:10">
      <c r="A707" s="2" t="str">
        <f>"704"</f>
        <v>704</v>
      </c>
      <c r="B707" s="2" t="s">
        <v>9</v>
      </c>
      <c r="C707" s="2" t="str">
        <f>"1 (1)"</f>
        <v>1 (1)</v>
      </c>
      <c r="D707" s="2" t="s">
        <v>2241</v>
      </c>
      <c r="E707" s="5" t="s">
        <v>2242</v>
      </c>
      <c r="F707" s="3" t="s">
        <v>2240</v>
      </c>
      <c r="G707" s="3" t="s">
        <v>2176</v>
      </c>
      <c r="H707" s="2" t="str">
        <f>"2007"</f>
        <v>2007</v>
      </c>
      <c r="I707" t="s">
        <v>14</v>
      </c>
      <c r="J707" t="s">
        <v>15</v>
      </c>
    </row>
    <row r="708" spans="1:10">
      <c r="A708" s="2" t="str">
        <f>"705"</f>
        <v>705</v>
      </c>
      <c r="B708" s="2" t="s">
        <v>9</v>
      </c>
      <c r="C708" s="2" t="str">
        <f>"1 (1)"</f>
        <v>1 (1)</v>
      </c>
      <c r="D708" s="2" t="s">
        <v>2243</v>
      </c>
      <c r="E708" s="5" t="s">
        <v>2244</v>
      </c>
      <c r="F708" s="3" t="s">
        <v>2240</v>
      </c>
      <c r="G708" s="3" t="s">
        <v>2176</v>
      </c>
      <c r="H708" s="2" t="str">
        <f>"2007"</f>
        <v>2007</v>
      </c>
      <c r="I708" t="s">
        <v>14</v>
      </c>
      <c r="J708" t="s">
        <v>15</v>
      </c>
    </row>
    <row r="709" spans="1:10">
      <c r="A709" s="2" t="str">
        <f>"706"</f>
        <v>706</v>
      </c>
      <c r="B709" s="2" t="s">
        <v>9</v>
      </c>
      <c r="C709" s="2" t="str">
        <f>"1 (1)"</f>
        <v>1 (1)</v>
      </c>
      <c r="D709" s="2" t="s">
        <v>2245</v>
      </c>
      <c r="E709" s="5" t="s">
        <v>2246</v>
      </c>
      <c r="F709" s="3" t="s">
        <v>2247</v>
      </c>
      <c r="G709" s="3" t="s">
        <v>2176</v>
      </c>
      <c r="H709" s="2" t="str">
        <f>"2008"</f>
        <v>2008</v>
      </c>
      <c r="I709" t="s">
        <v>14</v>
      </c>
      <c r="J709" t="s">
        <v>15</v>
      </c>
    </row>
    <row r="710" spans="1:10">
      <c r="A710" s="2" t="str">
        <f>"707"</f>
        <v>707</v>
      </c>
      <c r="B710" s="2" t="s">
        <v>9</v>
      </c>
      <c r="C710" s="2" t="str">
        <f>"1 (1)"</f>
        <v>1 (1)</v>
      </c>
      <c r="D710" s="2" t="s">
        <v>2248</v>
      </c>
      <c r="E710" s="5" t="s">
        <v>2249</v>
      </c>
      <c r="F710" s="3" t="s">
        <v>2250</v>
      </c>
      <c r="G710" s="3" t="s">
        <v>2176</v>
      </c>
      <c r="H710" s="2" t="str">
        <f>"2008"</f>
        <v>2008</v>
      </c>
      <c r="I710" t="s">
        <v>14</v>
      </c>
      <c r="J710" t="s">
        <v>15</v>
      </c>
    </row>
    <row r="711" spans="1:10">
      <c r="A711" s="2" t="str">
        <f>"708"</f>
        <v>708</v>
      </c>
      <c r="B711" s="2" t="s">
        <v>9</v>
      </c>
      <c r="C711" s="2" t="str">
        <f>"1 (1)"</f>
        <v>1 (1)</v>
      </c>
      <c r="D711" s="2" t="s">
        <v>2251</v>
      </c>
      <c r="E711" s="5" t="s">
        <v>2252</v>
      </c>
      <c r="F711" s="3" t="s">
        <v>2250</v>
      </c>
      <c r="G711" s="3" t="s">
        <v>2176</v>
      </c>
      <c r="H711" s="2" t="str">
        <f>"2008"</f>
        <v>2008</v>
      </c>
      <c r="I711" t="s">
        <v>14</v>
      </c>
      <c r="J711" t="s">
        <v>15</v>
      </c>
    </row>
    <row r="712" spans="1:10">
      <c r="A712" s="2" t="str">
        <f>"709"</f>
        <v>709</v>
      </c>
      <c r="B712" s="2" t="s">
        <v>9</v>
      </c>
      <c r="C712" s="2" t="str">
        <f>"1 (1)"</f>
        <v>1 (1)</v>
      </c>
      <c r="D712" s="2" t="s">
        <v>2253</v>
      </c>
      <c r="E712" s="5" t="s">
        <v>2254</v>
      </c>
      <c r="F712" s="3" t="s">
        <v>2255</v>
      </c>
      <c r="G712" s="3" t="s">
        <v>2176</v>
      </c>
      <c r="H712" s="2" t="str">
        <f>"2009"</f>
        <v>2009</v>
      </c>
      <c r="I712" t="s">
        <v>14</v>
      </c>
      <c r="J712" t="s">
        <v>15</v>
      </c>
    </row>
    <row r="713" spans="1:10">
      <c r="A713" s="2" t="str">
        <f>"710"</f>
        <v>710</v>
      </c>
      <c r="B713" s="2" t="s">
        <v>9</v>
      </c>
      <c r="C713" s="2" t="str">
        <f>"1 (1)"</f>
        <v>1 (1)</v>
      </c>
      <c r="D713" s="2" t="s">
        <v>2256</v>
      </c>
      <c r="E713" s="5" t="s">
        <v>2257</v>
      </c>
      <c r="F713" s="3" t="s">
        <v>2258</v>
      </c>
      <c r="G713" s="3" t="s">
        <v>2259</v>
      </c>
      <c r="H713" s="2" t="str">
        <f>"2012"</f>
        <v>2012</v>
      </c>
      <c r="I713" t="s">
        <v>14</v>
      </c>
      <c r="J713" t="s">
        <v>15</v>
      </c>
    </row>
    <row r="714" spans="1:10">
      <c r="A714" s="2" t="str">
        <f>"711"</f>
        <v>711</v>
      </c>
      <c r="B714" s="2" t="s">
        <v>9</v>
      </c>
      <c r="C714" s="2" t="str">
        <f>"1 (1)"</f>
        <v>1 (1)</v>
      </c>
      <c r="D714" s="2" t="s">
        <v>2260</v>
      </c>
      <c r="E714" s="5" t="s">
        <v>2261</v>
      </c>
      <c r="F714" s="3" t="s">
        <v>2262</v>
      </c>
      <c r="G714" s="3" t="s">
        <v>2263</v>
      </c>
      <c r="H714" s="2" t="str">
        <f>"2012"</f>
        <v>2012</v>
      </c>
      <c r="I714" t="s">
        <v>14</v>
      </c>
      <c r="J714" t="s">
        <v>15</v>
      </c>
    </row>
    <row r="715" spans="1:10">
      <c r="A715" s="2" t="str">
        <f>"712"</f>
        <v>712</v>
      </c>
      <c r="B715" s="2" t="s">
        <v>9</v>
      </c>
      <c r="C715" s="2" t="str">
        <f>"1 (1)"</f>
        <v>1 (1)</v>
      </c>
      <c r="D715" s="2" t="s">
        <v>2264</v>
      </c>
      <c r="E715" s="5" t="s">
        <v>2265</v>
      </c>
      <c r="F715" s="3" t="s">
        <v>2266</v>
      </c>
      <c r="G715" s="3" t="s">
        <v>2263</v>
      </c>
      <c r="H715" s="2" t="str">
        <f>"2012"</f>
        <v>2012</v>
      </c>
      <c r="I715" t="s">
        <v>14</v>
      </c>
      <c r="J715" t="s">
        <v>15</v>
      </c>
    </row>
    <row r="716" spans="1:10">
      <c r="A716" s="2" t="str">
        <f>"713"</f>
        <v>713</v>
      </c>
      <c r="B716" s="2" t="s">
        <v>9</v>
      </c>
      <c r="C716" s="2" t="str">
        <f>"1 (1)"</f>
        <v>1 (1)</v>
      </c>
      <c r="D716" s="2" t="s">
        <v>2267</v>
      </c>
      <c r="E716" s="5" t="s">
        <v>2268</v>
      </c>
      <c r="F716" s="3" t="s">
        <v>2269</v>
      </c>
      <c r="G716" s="3" t="s">
        <v>2270</v>
      </c>
      <c r="H716" s="2" t="str">
        <f>"2012"</f>
        <v>2012</v>
      </c>
      <c r="I716" t="s">
        <v>14</v>
      </c>
      <c r="J716" t="s">
        <v>15</v>
      </c>
    </row>
    <row r="717" spans="1:10">
      <c r="A717" s="2" t="str">
        <f>"714"</f>
        <v>714</v>
      </c>
      <c r="B717" s="2" t="s">
        <v>9</v>
      </c>
      <c r="C717" s="2" t="str">
        <f>"1 (1)"</f>
        <v>1 (1)</v>
      </c>
      <c r="D717" s="2" t="s">
        <v>2271</v>
      </c>
      <c r="E717" s="5" t="s">
        <v>2272</v>
      </c>
      <c r="F717" s="3" t="s">
        <v>2269</v>
      </c>
      <c r="G717" s="3" t="s">
        <v>2270</v>
      </c>
      <c r="H717" s="2" t="str">
        <f>"2012"</f>
        <v>2012</v>
      </c>
      <c r="I717" t="s">
        <v>14</v>
      </c>
      <c r="J717" t="s">
        <v>15</v>
      </c>
    </row>
    <row r="718" spans="1:10">
      <c r="A718" s="2" t="str">
        <f>"715"</f>
        <v>715</v>
      </c>
      <c r="B718" s="2" t="s">
        <v>9</v>
      </c>
      <c r="C718" s="2" t="str">
        <f>"1 (1)"</f>
        <v>1 (1)</v>
      </c>
      <c r="D718" s="2" t="s">
        <v>2273</v>
      </c>
      <c r="E718" s="5" t="s">
        <v>2274</v>
      </c>
      <c r="F718" s="3" t="s">
        <v>2269</v>
      </c>
      <c r="G718" s="3" t="s">
        <v>2270</v>
      </c>
      <c r="H718" s="2" t="str">
        <f>"2012"</f>
        <v>2012</v>
      </c>
      <c r="I718" t="s">
        <v>14</v>
      </c>
      <c r="J718" t="s">
        <v>15</v>
      </c>
    </row>
    <row r="719" spans="1:10">
      <c r="A719" s="2" t="str">
        <f>"716"</f>
        <v>716</v>
      </c>
      <c r="B719" s="2" t="s">
        <v>9</v>
      </c>
      <c r="C719" s="2" t="str">
        <f>"1 (1)"</f>
        <v>1 (1)</v>
      </c>
      <c r="D719" s="2" t="s">
        <v>2275</v>
      </c>
      <c r="E719" s="5" t="s">
        <v>2276</v>
      </c>
      <c r="F719" s="3" t="s">
        <v>2277</v>
      </c>
      <c r="G719" s="3" t="s">
        <v>2278</v>
      </c>
      <c r="H719" s="2" t="str">
        <f>"2012"</f>
        <v>2012</v>
      </c>
      <c r="I719" t="s">
        <v>14</v>
      </c>
      <c r="J719" t="s">
        <v>15</v>
      </c>
    </row>
    <row r="720" spans="1:10">
      <c r="A720" s="2" t="str">
        <f>"717"</f>
        <v>717</v>
      </c>
      <c r="B720" s="2" t="s">
        <v>9</v>
      </c>
      <c r="C720" s="2" t="str">
        <f>"1 (1)"</f>
        <v>1 (1)</v>
      </c>
      <c r="D720" s="2" t="s">
        <v>2279</v>
      </c>
      <c r="E720" s="5" t="s">
        <v>2280</v>
      </c>
      <c r="F720" s="3" t="s">
        <v>2277</v>
      </c>
      <c r="G720" s="3" t="s">
        <v>2278</v>
      </c>
      <c r="H720" s="2" t="str">
        <f>"2012"</f>
        <v>2012</v>
      </c>
      <c r="I720" t="s">
        <v>14</v>
      </c>
      <c r="J720" t="s">
        <v>15</v>
      </c>
    </row>
    <row r="721" spans="1:10">
      <c r="A721" s="2" t="str">
        <f>"718"</f>
        <v>718</v>
      </c>
      <c r="B721" s="2" t="s">
        <v>9</v>
      </c>
      <c r="C721" s="2" t="str">
        <f>"1 (1)"</f>
        <v>1 (1)</v>
      </c>
      <c r="D721" s="2" t="s">
        <v>2281</v>
      </c>
      <c r="E721" s="5" t="s">
        <v>2282</v>
      </c>
      <c r="F721" s="3" t="s">
        <v>2277</v>
      </c>
      <c r="G721" s="3" t="s">
        <v>2278</v>
      </c>
      <c r="H721" s="2" t="str">
        <f>"2012"</f>
        <v>2012</v>
      </c>
      <c r="I721" t="s">
        <v>14</v>
      </c>
      <c r="J721" t="s">
        <v>15</v>
      </c>
    </row>
    <row r="722" spans="1:10">
      <c r="A722" s="2" t="str">
        <f>"719"</f>
        <v>719</v>
      </c>
      <c r="B722" s="2" t="s">
        <v>9</v>
      </c>
      <c r="C722" s="2" t="str">
        <f>"1 (1)"</f>
        <v>1 (1)</v>
      </c>
      <c r="D722" s="2" t="s">
        <v>2283</v>
      </c>
      <c r="E722" s="5" t="s">
        <v>2284</v>
      </c>
      <c r="F722" s="3" t="s">
        <v>2285</v>
      </c>
      <c r="G722" s="3" t="s">
        <v>2286</v>
      </c>
      <c r="H722" s="2" t="str">
        <f>"2012"</f>
        <v>2012</v>
      </c>
      <c r="I722" t="s">
        <v>14</v>
      </c>
      <c r="J722" t="s">
        <v>15</v>
      </c>
    </row>
    <row r="723" spans="1:10">
      <c r="A723" s="2" t="str">
        <f>"720"</f>
        <v>720</v>
      </c>
      <c r="B723" s="2" t="s">
        <v>9</v>
      </c>
      <c r="C723" s="2" t="str">
        <f>"1 (1)"</f>
        <v>1 (1)</v>
      </c>
      <c r="D723" s="2" t="s">
        <v>2287</v>
      </c>
      <c r="E723" s="5" t="s">
        <v>2288</v>
      </c>
      <c r="F723" s="3" t="s">
        <v>2289</v>
      </c>
      <c r="G723" s="3" t="s">
        <v>2286</v>
      </c>
      <c r="H723" s="2" t="str">
        <f>"2012"</f>
        <v>2012</v>
      </c>
      <c r="I723" t="s">
        <v>14</v>
      </c>
      <c r="J723" t="s">
        <v>15</v>
      </c>
    </row>
    <row r="724" spans="1:10">
      <c r="A724" s="2" t="str">
        <f>"721"</f>
        <v>721</v>
      </c>
      <c r="B724" s="2" t="s">
        <v>9</v>
      </c>
      <c r="C724" s="2" t="str">
        <f>"1 (1)"</f>
        <v>1 (1)</v>
      </c>
      <c r="D724" s="2" t="s">
        <v>2290</v>
      </c>
      <c r="E724" s="5" t="s">
        <v>2291</v>
      </c>
      <c r="F724" s="3" t="s">
        <v>2292</v>
      </c>
      <c r="G724" s="3" t="s">
        <v>2293</v>
      </c>
      <c r="H724" s="2" t="str">
        <f>"2012"</f>
        <v>2012</v>
      </c>
      <c r="I724" t="s">
        <v>14</v>
      </c>
      <c r="J724" t="s">
        <v>15</v>
      </c>
    </row>
    <row r="725" spans="1:10">
      <c r="A725" s="2" t="str">
        <f>"722"</f>
        <v>722</v>
      </c>
      <c r="B725" s="2" t="s">
        <v>9</v>
      </c>
      <c r="C725" s="2" t="str">
        <f>"1 (1)"</f>
        <v>1 (1)</v>
      </c>
      <c r="D725" s="2" t="s">
        <v>2294</v>
      </c>
      <c r="E725" s="5" t="s">
        <v>2295</v>
      </c>
      <c r="F725" s="3" t="s">
        <v>2296</v>
      </c>
      <c r="G725" s="3" t="s">
        <v>2297</v>
      </c>
      <c r="H725" s="2" t="str">
        <f>"2012"</f>
        <v>2012</v>
      </c>
      <c r="I725" t="s">
        <v>14</v>
      </c>
      <c r="J725" t="s">
        <v>15</v>
      </c>
    </row>
    <row r="726" spans="1:10">
      <c r="A726" s="2" t="str">
        <f>"723"</f>
        <v>723</v>
      </c>
      <c r="B726" s="2" t="s">
        <v>9</v>
      </c>
      <c r="C726" s="2" t="str">
        <f>"1 (1)"</f>
        <v>1 (1)</v>
      </c>
      <c r="D726" s="2" t="s">
        <v>2298</v>
      </c>
      <c r="E726" s="5" t="s">
        <v>2299</v>
      </c>
      <c r="F726" s="3" t="s">
        <v>2300</v>
      </c>
      <c r="G726" s="3" t="s">
        <v>2301</v>
      </c>
      <c r="H726" s="2" t="str">
        <f>"2012"</f>
        <v>2012</v>
      </c>
      <c r="I726" t="s">
        <v>14</v>
      </c>
      <c r="J726" t="s">
        <v>15</v>
      </c>
    </row>
    <row r="727" spans="1:10">
      <c r="A727" s="2" t="str">
        <f>"724"</f>
        <v>724</v>
      </c>
      <c r="B727" s="2" t="s">
        <v>9</v>
      </c>
      <c r="C727" s="2" t="str">
        <f>"1 (1)"</f>
        <v>1 (1)</v>
      </c>
      <c r="D727" s="2" t="s">
        <v>2302</v>
      </c>
      <c r="E727" s="5" t="s">
        <v>2303</v>
      </c>
      <c r="F727" s="3" t="s">
        <v>2304</v>
      </c>
      <c r="G727" s="3" t="s">
        <v>564</v>
      </c>
      <c r="H727" s="2" t="str">
        <f>"2012"</f>
        <v>2012</v>
      </c>
      <c r="I727" t="s">
        <v>14</v>
      </c>
      <c r="J727" t="s">
        <v>15</v>
      </c>
    </row>
    <row r="728" spans="1:10">
      <c r="A728" s="2" t="str">
        <f>"725"</f>
        <v>725</v>
      </c>
      <c r="B728" s="2" t="s">
        <v>9</v>
      </c>
      <c r="C728" s="2" t="str">
        <f>"1 (1)"</f>
        <v>1 (1)</v>
      </c>
      <c r="D728" s="2" t="s">
        <v>2305</v>
      </c>
      <c r="E728" s="5" t="s">
        <v>2306</v>
      </c>
      <c r="F728" s="3" t="s">
        <v>2304</v>
      </c>
      <c r="G728" s="3" t="s">
        <v>564</v>
      </c>
      <c r="H728" s="2" t="str">
        <f>"2012"</f>
        <v>2012</v>
      </c>
      <c r="I728" t="s">
        <v>14</v>
      </c>
      <c r="J728" t="s">
        <v>15</v>
      </c>
    </row>
    <row r="729" spans="1:10">
      <c r="A729" s="2" t="str">
        <f>"726"</f>
        <v>726</v>
      </c>
      <c r="B729" s="2" t="s">
        <v>9</v>
      </c>
      <c r="C729" s="2" t="str">
        <f>"1 (1)"</f>
        <v>1 (1)</v>
      </c>
      <c r="D729" s="2" t="s">
        <v>2307</v>
      </c>
      <c r="E729" s="5" t="s">
        <v>2308</v>
      </c>
      <c r="F729" s="3" t="s">
        <v>2309</v>
      </c>
      <c r="G729" s="3" t="s">
        <v>2310</v>
      </c>
      <c r="H729" s="2" t="str">
        <f>"2012"</f>
        <v>2012</v>
      </c>
      <c r="I729" t="s">
        <v>14</v>
      </c>
      <c r="J729" t="s">
        <v>15</v>
      </c>
    </row>
    <row r="730" spans="1:10">
      <c r="A730" s="2" t="str">
        <f>"727"</f>
        <v>727</v>
      </c>
      <c r="B730" s="2" t="s">
        <v>9</v>
      </c>
      <c r="C730" s="2" t="str">
        <f>"1 (1)"</f>
        <v>1 (1)</v>
      </c>
      <c r="D730" s="2" t="s">
        <v>2311</v>
      </c>
      <c r="E730" s="5" t="s">
        <v>2312</v>
      </c>
      <c r="F730" s="3" t="s">
        <v>2313</v>
      </c>
      <c r="G730" s="3" t="s">
        <v>2314</v>
      </c>
      <c r="H730" s="2" t="str">
        <f>"2012"</f>
        <v>2012</v>
      </c>
      <c r="I730" t="s">
        <v>14</v>
      </c>
      <c r="J730" t="s">
        <v>15</v>
      </c>
    </row>
    <row r="731" spans="1:10">
      <c r="A731" s="2" t="str">
        <f>"728"</f>
        <v>728</v>
      </c>
      <c r="B731" s="2" t="s">
        <v>9</v>
      </c>
      <c r="C731" s="2" t="str">
        <f>"1 (1)"</f>
        <v>1 (1)</v>
      </c>
      <c r="D731" s="2" t="s">
        <v>2315</v>
      </c>
      <c r="E731" s="5" t="s">
        <v>2316</v>
      </c>
      <c r="F731" s="3" t="s">
        <v>2317</v>
      </c>
      <c r="G731" s="3" t="s">
        <v>2314</v>
      </c>
      <c r="H731" s="2" t="str">
        <f>"2012"</f>
        <v>2012</v>
      </c>
      <c r="I731" t="s">
        <v>14</v>
      </c>
      <c r="J731" t="s">
        <v>15</v>
      </c>
    </row>
    <row r="732" spans="1:10">
      <c r="A732" s="2" t="str">
        <f>"729"</f>
        <v>729</v>
      </c>
      <c r="B732" s="2" t="s">
        <v>9</v>
      </c>
      <c r="C732" s="2" t="str">
        <f>"1 (1)"</f>
        <v>1 (1)</v>
      </c>
      <c r="D732" s="2" t="s">
        <v>2318</v>
      </c>
      <c r="E732" s="5" t="s">
        <v>2319</v>
      </c>
      <c r="F732" s="3" t="s">
        <v>2320</v>
      </c>
      <c r="G732" s="3" t="s">
        <v>2321</v>
      </c>
      <c r="H732" s="2" t="str">
        <f>"2012"</f>
        <v>2012</v>
      </c>
      <c r="I732" t="s">
        <v>14</v>
      </c>
      <c r="J732" t="s">
        <v>15</v>
      </c>
    </row>
    <row r="733" spans="1:10">
      <c r="A733" s="2" t="str">
        <f>"730"</f>
        <v>730</v>
      </c>
      <c r="B733" s="2" t="s">
        <v>9</v>
      </c>
      <c r="C733" s="2" t="str">
        <f>"1 (1)"</f>
        <v>1 (1)</v>
      </c>
      <c r="D733" s="2" t="s">
        <v>2322</v>
      </c>
      <c r="E733" s="5" t="s">
        <v>2323</v>
      </c>
      <c r="F733" s="3" t="s">
        <v>2324</v>
      </c>
      <c r="G733" s="3" t="s">
        <v>2325</v>
      </c>
      <c r="H733" s="2" t="str">
        <f>"2012"</f>
        <v>2012</v>
      </c>
      <c r="I733" t="s">
        <v>14</v>
      </c>
      <c r="J733" t="s">
        <v>15</v>
      </c>
    </row>
    <row r="734" spans="1:10">
      <c r="A734" s="2" t="str">
        <f>"731"</f>
        <v>731</v>
      </c>
      <c r="B734" s="2" t="s">
        <v>9</v>
      </c>
      <c r="C734" s="2" t="str">
        <f>"1 (1)"</f>
        <v>1 (1)</v>
      </c>
      <c r="D734" s="2" t="s">
        <v>2326</v>
      </c>
      <c r="E734" s="5" t="s">
        <v>2327</v>
      </c>
      <c r="F734" s="3" t="s">
        <v>2328</v>
      </c>
      <c r="G734" s="3" t="s">
        <v>2329</v>
      </c>
      <c r="H734" s="2" t="str">
        <f>"2012"</f>
        <v>2012</v>
      </c>
      <c r="I734" t="s">
        <v>14</v>
      </c>
      <c r="J734" t="s">
        <v>15</v>
      </c>
    </row>
    <row r="735" spans="1:10">
      <c r="A735" s="2" t="str">
        <f>"732"</f>
        <v>732</v>
      </c>
      <c r="B735" s="2" t="s">
        <v>9</v>
      </c>
      <c r="C735" s="2" t="str">
        <f>"1 (1)"</f>
        <v>1 (1)</v>
      </c>
      <c r="D735" s="2" t="s">
        <v>2330</v>
      </c>
      <c r="E735" s="5" t="s">
        <v>2331</v>
      </c>
      <c r="F735" s="3" t="s">
        <v>2332</v>
      </c>
      <c r="G735" s="3" t="s">
        <v>2333</v>
      </c>
      <c r="H735" s="2" t="str">
        <f>"2012"</f>
        <v>2012</v>
      </c>
      <c r="I735" t="s">
        <v>14</v>
      </c>
      <c r="J735" t="s">
        <v>15</v>
      </c>
    </row>
    <row r="736" spans="1:10">
      <c r="A736" s="2" t="str">
        <f>"733"</f>
        <v>733</v>
      </c>
      <c r="B736" s="2" t="s">
        <v>9</v>
      </c>
      <c r="C736" s="2" t="str">
        <f>"1 (1)"</f>
        <v>1 (1)</v>
      </c>
      <c r="D736" s="2" t="s">
        <v>2334</v>
      </c>
      <c r="E736" s="5" t="s">
        <v>2335</v>
      </c>
      <c r="F736" s="3" t="s">
        <v>2336</v>
      </c>
      <c r="G736" s="3" t="s">
        <v>2337</v>
      </c>
      <c r="H736" s="2" t="str">
        <f>"2012"</f>
        <v>2012</v>
      </c>
      <c r="I736" t="s">
        <v>14</v>
      </c>
      <c r="J736" t="s">
        <v>15</v>
      </c>
    </row>
    <row r="737" spans="1:10">
      <c r="A737" s="2" t="str">
        <f>"734"</f>
        <v>734</v>
      </c>
      <c r="B737" s="2" t="s">
        <v>9</v>
      </c>
      <c r="C737" s="2" t="str">
        <f>"1 (1)"</f>
        <v>1 (1)</v>
      </c>
      <c r="D737" s="2" t="s">
        <v>2338</v>
      </c>
      <c r="E737" s="5" t="s">
        <v>2339</v>
      </c>
      <c r="F737" s="3" t="s">
        <v>2340</v>
      </c>
      <c r="G737" s="3" t="s">
        <v>2341</v>
      </c>
      <c r="H737" s="2" t="str">
        <f>"2012"</f>
        <v>2012</v>
      </c>
      <c r="I737" t="s">
        <v>14</v>
      </c>
      <c r="J737" t="s">
        <v>15</v>
      </c>
    </row>
    <row r="738" spans="1:10">
      <c r="A738" s="2" t="str">
        <f>"735"</f>
        <v>735</v>
      </c>
      <c r="B738" s="2" t="s">
        <v>9</v>
      </c>
      <c r="C738" s="2" t="str">
        <f>"1 (1)"</f>
        <v>1 (1)</v>
      </c>
      <c r="D738" s="2" t="s">
        <v>2342</v>
      </c>
      <c r="E738" s="5" t="s">
        <v>2343</v>
      </c>
      <c r="F738" s="3" t="s">
        <v>2344</v>
      </c>
      <c r="G738" s="3" t="s">
        <v>2345</v>
      </c>
      <c r="H738" s="2" t="str">
        <f>"2012"</f>
        <v>2012</v>
      </c>
      <c r="I738" t="s">
        <v>14</v>
      </c>
      <c r="J738" t="s">
        <v>15</v>
      </c>
    </row>
    <row r="739" spans="1:10">
      <c r="A739" s="2" t="str">
        <f>"736"</f>
        <v>736</v>
      </c>
      <c r="B739" s="2" t="s">
        <v>9</v>
      </c>
      <c r="C739" s="2" t="str">
        <f>"1 (1)"</f>
        <v>1 (1)</v>
      </c>
      <c r="D739" s="2" t="s">
        <v>2346</v>
      </c>
      <c r="E739" s="5" t="s">
        <v>2347</v>
      </c>
      <c r="F739" s="3" t="s">
        <v>2348</v>
      </c>
      <c r="G739" s="3" t="s">
        <v>2349</v>
      </c>
      <c r="H739" s="2" t="str">
        <f>"2012"</f>
        <v>2012</v>
      </c>
      <c r="I739" t="s">
        <v>14</v>
      </c>
      <c r="J739" t="s">
        <v>15</v>
      </c>
    </row>
    <row r="740" spans="1:10">
      <c r="A740" s="2" t="str">
        <f>"737"</f>
        <v>737</v>
      </c>
      <c r="B740" s="2" t="s">
        <v>9</v>
      </c>
      <c r="C740" s="2" t="str">
        <f>"1 (1)"</f>
        <v>1 (1)</v>
      </c>
      <c r="D740" s="2" t="s">
        <v>2350</v>
      </c>
      <c r="E740" s="5" t="s">
        <v>2351</v>
      </c>
      <c r="F740" s="3" t="s">
        <v>2352</v>
      </c>
      <c r="G740" s="3" t="s">
        <v>2353</v>
      </c>
      <c r="H740" s="2" t="str">
        <f>"2012"</f>
        <v>2012</v>
      </c>
      <c r="I740" t="s">
        <v>14</v>
      </c>
      <c r="J740" t="s">
        <v>15</v>
      </c>
    </row>
    <row r="741" spans="1:10">
      <c r="A741" s="2" t="str">
        <f>"738"</f>
        <v>738</v>
      </c>
      <c r="B741" s="2" t="s">
        <v>9</v>
      </c>
      <c r="C741" s="2" t="str">
        <f>"1 (1)"</f>
        <v>1 (1)</v>
      </c>
      <c r="D741" s="2" t="s">
        <v>2354</v>
      </c>
      <c r="E741" s="5" t="s">
        <v>2355</v>
      </c>
      <c r="F741" s="3" t="s">
        <v>2356</v>
      </c>
      <c r="G741" s="3" t="s">
        <v>2353</v>
      </c>
      <c r="H741" s="2" t="str">
        <f>"2012"</f>
        <v>2012</v>
      </c>
      <c r="I741" t="s">
        <v>14</v>
      </c>
      <c r="J741" t="s">
        <v>15</v>
      </c>
    </row>
    <row r="742" spans="1:10">
      <c r="A742" s="2" t="str">
        <f>"739"</f>
        <v>739</v>
      </c>
      <c r="B742" s="2" t="s">
        <v>9</v>
      </c>
      <c r="C742" s="2" t="str">
        <f>"1 (1)"</f>
        <v>1 (1)</v>
      </c>
      <c r="D742" s="2" t="s">
        <v>2357</v>
      </c>
      <c r="E742" s="5" t="s">
        <v>2358</v>
      </c>
      <c r="F742" s="3" t="s">
        <v>2359</v>
      </c>
      <c r="G742" s="3" t="s">
        <v>936</v>
      </c>
      <c r="H742" s="2" t="str">
        <f>"2012"</f>
        <v>2012</v>
      </c>
      <c r="I742" t="s">
        <v>14</v>
      </c>
      <c r="J742" t="s">
        <v>15</v>
      </c>
    </row>
    <row r="743" spans="1:10">
      <c r="A743" s="2" t="str">
        <f>"740"</f>
        <v>740</v>
      </c>
      <c r="B743" s="2" t="s">
        <v>9</v>
      </c>
      <c r="C743" s="2" t="str">
        <f>"1 (1)"</f>
        <v>1 (1)</v>
      </c>
      <c r="D743" s="2" t="s">
        <v>2360</v>
      </c>
      <c r="E743" s="5" t="s">
        <v>2361</v>
      </c>
      <c r="F743" s="3" t="s">
        <v>2362</v>
      </c>
      <c r="G743" s="3" t="s">
        <v>936</v>
      </c>
      <c r="H743" s="2" t="str">
        <f>"2012"</f>
        <v>2012</v>
      </c>
      <c r="I743" t="s">
        <v>14</v>
      </c>
      <c r="J743" t="s">
        <v>15</v>
      </c>
    </row>
    <row r="744" spans="1:10">
      <c r="A744" s="2" t="str">
        <f>"741"</f>
        <v>741</v>
      </c>
      <c r="B744" s="2" t="s">
        <v>9</v>
      </c>
      <c r="C744" s="2" t="str">
        <f>"1 (1)"</f>
        <v>1 (1)</v>
      </c>
      <c r="D744" s="2" t="s">
        <v>2363</v>
      </c>
      <c r="E744" s="5" t="s">
        <v>2364</v>
      </c>
      <c r="F744" s="3" t="s">
        <v>2362</v>
      </c>
      <c r="G744" s="3" t="s">
        <v>936</v>
      </c>
      <c r="H744" s="2" t="str">
        <f>"2012"</f>
        <v>2012</v>
      </c>
      <c r="I744" t="s">
        <v>14</v>
      </c>
      <c r="J744" t="s">
        <v>15</v>
      </c>
    </row>
    <row r="745" spans="1:10">
      <c r="A745" s="2" t="str">
        <f>"742"</f>
        <v>742</v>
      </c>
      <c r="B745" s="2" t="s">
        <v>9</v>
      </c>
      <c r="C745" s="2" t="str">
        <f>"1 (1)"</f>
        <v>1 (1)</v>
      </c>
      <c r="D745" s="2" t="s">
        <v>2365</v>
      </c>
      <c r="E745" s="5" t="s">
        <v>2366</v>
      </c>
      <c r="F745" s="3" t="s">
        <v>2367</v>
      </c>
      <c r="G745" s="3" t="s">
        <v>936</v>
      </c>
      <c r="H745" s="2" t="str">
        <f>"2012"</f>
        <v>2012</v>
      </c>
      <c r="I745" t="s">
        <v>14</v>
      </c>
      <c r="J745" t="s">
        <v>15</v>
      </c>
    </row>
    <row r="746" spans="1:10">
      <c r="A746" s="2" t="str">
        <f>"743"</f>
        <v>743</v>
      </c>
      <c r="B746" s="2" t="s">
        <v>9</v>
      </c>
      <c r="C746" s="2" t="str">
        <f>"1 (1)"</f>
        <v>1 (1)</v>
      </c>
      <c r="D746" s="2" t="s">
        <v>2368</v>
      </c>
      <c r="E746" s="5" t="s">
        <v>2369</v>
      </c>
      <c r="F746" s="3" t="s">
        <v>2370</v>
      </c>
      <c r="G746" s="3" t="s">
        <v>2371</v>
      </c>
      <c r="H746" s="2" t="str">
        <f>"2012"</f>
        <v>2012</v>
      </c>
      <c r="I746" t="s">
        <v>14</v>
      </c>
      <c r="J746" t="s">
        <v>15</v>
      </c>
    </row>
    <row r="747" spans="1:10">
      <c r="A747" s="2" t="str">
        <f>"744"</f>
        <v>744</v>
      </c>
      <c r="B747" s="2" t="s">
        <v>9</v>
      </c>
      <c r="C747" s="2" t="str">
        <f>"1 (1)"</f>
        <v>1 (1)</v>
      </c>
      <c r="D747" s="2" t="s">
        <v>2372</v>
      </c>
      <c r="E747" s="5" t="s">
        <v>2373</v>
      </c>
      <c r="F747" s="3" t="s">
        <v>2374</v>
      </c>
      <c r="G747" s="3" t="s">
        <v>2371</v>
      </c>
      <c r="H747" s="2" t="str">
        <f>"2012"</f>
        <v>2012</v>
      </c>
      <c r="I747" t="s">
        <v>14</v>
      </c>
      <c r="J747" t="s">
        <v>15</v>
      </c>
    </row>
    <row r="748" spans="1:10">
      <c r="A748" s="2" t="str">
        <f>"745"</f>
        <v>745</v>
      </c>
      <c r="B748" s="2" t="s">
        <v>9</v>
      </c>
      <c r="C748" s="2" t="str">
        <f>"1 (1)"</f>
        <v>1 (1)</v>
      </c>
      <c r="D748" s="2" t="s">
        <v>2375</v>
      </c>
      <c r="E748" s="5" t="s">
        <v>2376</v>
      </c>
      <c r="F748" s="3" t="s">
        <v>2377</v>
      </c>
      <c r="G748" s="3" t="s">
        <v>2378</v>
      </c>
      <c r="H748" s="2" t="str">
        <f>"2012"</f>
        <v>2012</v>
      </c>
      <c r="I748" t="s">
        <v>14</v>
      </c>
      <c r="J748" t="s">
        <v>15</v>
      </c>
    </row>
    <row r="749" spans="1:10">
      <c r="A749" s="2" t="str">
        <f>"746"</f>
        <v>746</v>
      </c>
      <c r="B749" s="2" t="s">
        <v>9</v>
      </c>
      <c r="C749" s="2" t="str">
        <f>"1 (1)"</f>
        <v>1 (1)</v>
      </c>
      <c r="D749" s="2" t="s">
        <v>2379</v>
      </c>
      <c r="E749" s="5" t="s">
        <v>2380</v>
      </c>
      <c r="F749" s="3" t="s">
        <v>2381</v>
      </c>
      <c r="G749" s="3" t="s">
        <v>2382</v>
      </c>
      <c r="H749" s="2" t="str">
        <f>"2012"</f>
        <v>2012</v>
      </c>
      <c r="I749" t="s">
        <v>14</v>
      </c>
      <c r="J749" t="s">
        <v>15</v>
      </c>
    </row>
    <row r="750" spans="1:10">
      <c r="A750" s="2" t="str">
        <f>"747"</f>
        <v>747</v>
      </c>
      <c r="B750" s="2" t="s">
        <v>9</v>
      </c>
      <c r="C750" s="2" t="str">
        <f>"1 (1)"</f>
        <v>1 (1)</v>
      </c>
      <c r="D750" s="2" t="s">
        <v>2383</v>
      </c>
      <c r="E750" s="5" t="s">
        <v>2384</v>
      </c>
      <c r="F750" s="3" t="s">
        <v>2385</v>
      </c>
      <c r="G750" s="3" t="s">
        <v>2382</v>
      </c>
      <c r="H750" s="2" t="str">
        <f>"2012"</f>
        <v>2012</v>
      </c>
      <c r="I750" t="s">
        <v>14</v>
      </c>
      <c r="J750" t="s">
        <v>15</v>
      </c>
    </row>
    <row r="751" spans="1:10">
      <c r="A751" s="2" t="str">
        <f>"748"</f>
        <v>748</v>
      </c>
      <c r="B751" s="2" t="s">
        <v>9</v>
      </c>
      <c r="C751" s="2" t="str">
        <f>"1 (1)"</f>
        <v>1 (1)</v>
      </c>
      <c r="D751" s="2" t="s">
        <v>2386</v>
      </c>
      <c r="E751" s="5" t="s">
        <v>2387</v>
      </c>
      <c r="F751" s="3" t="s">
        <v>2388</v>
      </c>
      <c r="G751" s="3" t="s">
        <v>2389</v>
      </c>
      <c r="H751" s="2" t="str">
        <f>"2012"</f>
        <v>2012</v>
      </c>
      <c r="I751" t="s">
        <v>14</v>
      </c>
      <c r="J751" t="s">
        <v>15</v>
      </c>
    </row>
    <row r="752" spans="1:10">
      <c r="A752" s="2" t="str">
        <f>"749"</f>
        <v>749</v>
      </c>
      <c r="B752" s="2" t="s">
        <v>9</v>
      </c>
      <c r="C752" s="2" t="str">
        <f>"1 (1)"</f>
        <v>1 (1)</v>
      </c>
      <c r="D752" s="2" t="s">
        <v>2390</v>
      </c>
      <c r="E752" s="5" t="s">
        <v>2391</v>
      </c>
      <c r="F752" s="3" t="s">
        <v>2392</v>
      </c>
      <c r="G752" s="3" t="s">
        <v>2393</v>
      </c>
      <c r="H752" s="2" t="str">
        <f>"2012"</f>
        <v>2012</v>
      </c>
      <c r="I752" t="s">
        <v>14</v>
      </c>
      <c r="J752" t="s">
        <v>15</v>
      </c>
    </row>
    <row r="753" spans="1:10">
      <c r="A753" s="2" t="str">
        <f>"750"</f>
        <v>750</v>
      </c>
      <c r="B753" s="2" t="s">
        <v>9</v>
      </c>
      <c r="C753" s="2" t="str">
        <f>"1 (1)"</f>
        <v>1 (1)</v>
      </c>
      <c r="D753" s="2" t="s">
        <v>2394</v>
      </c>
      <c r="E753" s="5" t="s">
        <v>2395</v>
      </c>
      <c r="F753" s="3" t="s">
        <v>2396</v>
      </c>
      <c r="G753" s="3" t="s">
        <v>2397</v>
      </c>
      <c r="H753" s="2" t="str">
        <f>"2012"</f>
        <v>2012</v>
      </c>
      <c r="I753" t="s">
        <v>14</v>
      </c>
      <c r="J753" t="s">
        <v>15</v>
      </c>
    </row>
    <row r="754" spans="1:10">
      <c r="A754" s="2" t="str">
        <f>"751"</f>
        <v>751</v>
      </c>
      <c r="B754" s="2" t="s">
        <v>9</v>
      </c>
      <c r="C754" s="2" t="str">
        <f>"1 (1)"</f>
        <v>1 (1)</v>
      </c>
      <c r="D754" s="2" t="s">
        <v>2398</v>
      </c>
      <c r="E754" s="5" t="s">
        <v>2399</v>
      </c>
      <c r="F754" s="3" t="s">
        <v>2400</v>
      </c>
      <c r="G754" s="3" t="s">
        <v>2401</v>
      </c>
      <c r="H754" s="2" t="str">
        <f>"2012"</f>
        <v>2012</v>
      </c>
      <c r="I754" t="s">
        <v>14</v>
      </c>
      <c r="J754" t="s">
        <v>15</v>
      </c>
    </row>
    <row r="755" spans="1:10">
      <c r="A755" s="2" t="str">
        <f>"752"</f>
        <v>752</v>
      </c>
      <c r="B755" s="2" t="s">
        <v>9</v>
      </c>
      <c r="C755" s="2" t="str">
        <f>"1 (1)"</f>
        <v>1 (1)</v>
      </c>
      <c r="D755" s="2" t="s">
        <v>2402</v>
      </c>
      <c r="E755" s="5" t="s">
        <v>2403</v>
      </c>
      <c r="F755" s="3" t="s">
        <v>2404</v>
      </c>
      <c r="G755" s="3" t="s">
        <v>2405</v>
      </c>
      <c r="H755" s="2" t="str">
        <f>"2012"</f>
        <v>2012</v>
      </c>
      <c r="I755" t="s">
        <v>14</v>
      </c>
      <c r="J755" t="s">
        <v>15</v>
      </c>
    </row>
    <row r="756" spans="1:10">
      <c r="A756" s="2" t="str">
        <f>"753"</f>
        <v>753</v>
      </c>
      <c r="B756" s="2" t="s">
        <v>9</v>
      </c>
      <c r="C756" s="2" t="str">
        <f>"1 (1)"</f>
        <v>1 (1)</v>
      </c>
      <c r="D756" s="2" t="s">
        <v>2406</v>
      </c>
      <c r="E756" s="5" t="s">
        <v>2407</v>
      </c>
      <c r="F756" s="3" t="s">
        <v>2408</v>
      </c>
      <c r="G756" s="3" t="s">
        <v>2409</v>
      </c>
      <c r="H756" s="2" t="str">
        <f>"2012"</f>
        <v>2012</v>
      </c>
      <c r="I756" t="s">
        <v>14</v>
      </c>
      <c r="J756" t="s">
        <v>15</v>
      </c>
    </row>
    <row r="757" spans="1:10">
      <c r="A757" s="2" t="str">
        <f>"754"</f>
        <v>754</v>
      </c>
      <c r="B757" s="2" t="s">
        <v>9</v>
      </c>
      <c r="C757" s="2" t="str">
        <f>"1 (1)"</f>
        <v>1 (1)</v>
      </c>
      <c r="D757" s="2" t="s">
        <v>2410</v>
      </c>
      <c r="E757" s="5" t="s">
        <v>2411</v>
      </c>
      <c r="F757" s="3" t="s">
        <v>2412</v>
      </c>
      <c r="G757" s="3" t="s">
        <v>2413</v>
      </c>
      <c r="H757" s="2" t="str">
        <f>"2012"</f>
        <v>2012</v>
      </c>
      <c r="I757" t="s">
        <v>14</v>
      </c>
      <c r="J757" t="s">
        <v>15</v>
      </c>
    </row>
    <row r="758" spans="1:10">
      <c r="A758" s="2" t="str">
        <f>"755"</f>
        <v>755</v>
      </c>
      <c r="B758" s="2" t="s">
        <v>9</v>
      </c>
      <c r="C758" s="2" t="str">
        <f>"1 (1)"</f>
        <v>1 (1)</v>
      </c>
      <c r="D758" s="2" t="s">
        <v>2414</v>
      </c>
      <c r="E758" s="5" t="s">
        <v>2415</v>
      </c>
      <c r="F758" s="3" t="s">
        <v>2416</v>
      </c>
      <c r="G758" s="3" t="s">
        <v>2417</v>
      </c>
      <c r="H758" s="2" t="str">
        <f>"2012"</f>
        <v>2012</v>
      </c>
      <c r="I758" t="s">
        <v>14</v>
      </c>
      <c r="J758" t="s">
        <v>15</v>
      </c>
    </row>
    <row r="759" spans="1:10">
      <c r="A759" s="2" t="str">
        <f>"756"</f>
        <v>756</v>
      </c>
      <c r="B759" s="2" t="s">
        <v>9</v>
      </c>
      <c r="C759" s="2" t="str">
        <f>"1 (1)"</f>
        <v>1 (1)</v>
      </c>
      <c r="D759" s="2" t="s">
        <v>2418</v>
      </c>
      <c r="E759" s="5" t="s">
        <v>2419</v>
      </c>
      <c r="F759" s="3" t="s">
        <v>2420</v>
      </c>
      <c r="G759" s="3" t="s">
        <v>2421</v>
      </c>
      <c r="H759" s="2" t="str">
        <f>"2012"</f>
        <v>2012</v>
      </c>
      <c r="I759" t="s">
        <v>14</v>
      </c>
      <c r="J759" t="s">
        <v>15</v>
      </c>
    </row>
    <row r="760" spans="1:10">
      <c r="A760" s="2" t="str">
        <f>"757"</f>
        <v>757</v>
      </c>
      <c r="B760" s="2" t="s">
        <v>9</v>
      </c>
      <c r="C760" s="2" t="str">
        <f>"1 (1)"</f>
        <v>1 (1)</v>
      </c>
      <c r="D760" s="2" t="s">
        <v>2422</v>
      </c>
      <c r="E760" s="5" t="s">
        <v>2423</v>
      </c>
      <c r="F760" s="3" t="s">
        <v>2424</v>
      </c>
      <c r="G760" s="3" t="s">
        <v>2421</v>
      </c>
      <c r="H760" s="2" t="str">
        <f>"2012"</f>
        <v>2012</v>
      </c>
      <c r="I760" t="s">
        <v>14</v>
      </c>
      <c r="J760" t="s">
        <v>15</v>
      </c>
    </row>
    <row r="761" spans="1:10">
      <c r="A761" s="2" t="str">
        <f>"758"</f>
        <v>758</v>
      </c>
      <c r="B761" s="2" t="s">
        <v>9</v>
      </c>
      <c r="C761" s="2" t="str">
        <f>"1 (1)"</f>
        <v>1 (1)</v>
      </c>
      <c r="D761" s="2" t="s">
        <v>2425</v>
      </c>
      <c r="E761" s="5" t="s">
        <v>2426</v>
      </c>
      <c r="F761" s="3" t="s">
        <v>2424</v>
      </c>
      <c r="G761" s="3" t="s">
        <v>2421</v>
      </c>
      <c r="H761" s="2" t="str">
        <f>"2012"</f>
        <v>2012</v>
      </c>
      <c r="I761" t="s">
        <v>14</v>
      </c>
      <c r="J761" t="s">
        <v>15</v>
      </c>
    </row>
    <row r="762" spans="1:10">
      <c r="A762" s="2" t="str">
        <f>"759"</f>
        <v>759</v>
      </c>
      <c r="B762" s="2" t="s">
        <v>9</v>
      </c>
      <c r="C762" s="2" t="str">
        <f>"1 (1)"</f>
        <v>1 (1)</v>
      </c>
      <c r="D762" s="2" t="s">
        <v>2427</v>
      </c>
      <c r="E762" s="5" t="s">
        <v>2428</v>
      </c>
      <c r="F762" s="3" t="s">
        <v>2429</v>
      </c>
      <c r="G762" s="3" t="s">
        <v>2430</v>
      </c>
      <c r="H762" s="2" t="str">
        <f>"2012"</f>
        <v>2012</v>
      </c>
      <c r="I762" t="s">
        <v>14</v>
      </c>
      <c r="J762" t="s">
        <v>15</v>
      </c>
    </row>
    <row r="763" spans="1:10">
      <c r="A763" s="2" t="str">
        <f>"760"</f>
        <v>760</v>
      </c>
      <c r="B763" s="2" t="s">
        <v>9</v>
      </c>
      <c r="C763" s="2" t="str">
        <f>"1 (1)"</f>
        <v>1 (1)</v>
      </c>
      <c r="D763" s="2" t="s">
        <v>2431</v>
      </c>
      <c r="E763" s="5" t="s">
        <v>2432</v>
      </c>
      <c r="F763" s="3" t="s">
        <v>2433</v>
      </c>
      <c r="G763" s="3" t="s">
        <v>2434</v>
      </c>
      <c r="H763" s="2" t="str">
        <f>"2012"</f>
        <v>2012</v>
      </c>
      <c r="I763" t="s">
        <v>14</v>
      </c>
      <c r="J763" t="s">
        <v>15</v>
      </c>
    </row>
    <row r="764" spans="1:10">
      <c r="A764" s="2" t="str">
        <f>"761"</f>
        <v>761</v>
      </c>
      <c r="B764" s="2" t="s">
        <v>9</v>
      </c>
      <c r="C764" s="2" t="str">
        <f>"1 (1)"</f>
        <v>1 (1)</v>
      </c>
      <c r="D764" s="2" t="s">
        <v>2435</v>
      </c>
      <c r="E764" s="5" t="s">
        <v>2436</v>
      </c>
      <c r="F764" s="3" t="s">
        <v>2437</v>
      </c>
      <c r="G764" s="3" t="s">
        <v>2438</v>
      </c>
      <c r="H764" s="2" t="str">
        <f>"2012"</f>
        <v>2012</v>
      </c>
      <c r="I764" t="s">
        <v>14</v>
      </c>
      <c r="J764" t="s">
        <v>15</v>
      </c>
    </row>
    <row r="765" spans="1:10">
      <c r="A765" s="2" t="str">
        <f>"762"</f>
        <v>762</v>
      </c>
      <c r="B765" s="2" t="s">
        <v>9</v>
      </c>
      <c r="C765" s="2" t="str">
        <f>"1 (1)"</f>
        <v>1 (1)</v>
      </c>
      <c r="D765" s="2" t="s">
        <v>2439</v>
      </c>
      <c r="E765" s="5" t="s">
        <v>2440</v>
      </c>
      <c r="F765" s="3" t="s">
        <v>2441</v>
      </c>
      <c r="G765" s="3" t="s">
        <v>2442</v>
      </c>
      <c r="H765" s="2" t="str">
        <f>"2012"</f>
        <v>2012</v>
      </c>
      <c r="I765" t="s">
        <v>14</v>
      </c>
      <c r="J765" t="s">
        <v>15</v>
      </c>
    </row>
    <row r="766" spans="1:10">
      <c r="A766" s="2" t="str">
        <f>"763"</f>
        <v>763</v>
      </c>
      <c r="B766" s="2" t="s">
        <v>9</v>
      </c>
      <c r="C766" s="2" t="str">
        <f>"1 (1)"</f>
        <v>1 (1)</v>
      </c>
      <c r="D766" s="2" t="s">
        <v>2443</v>
      </c>
      <c r="E766" s="5" t="s">
        <v>2444</v>
      </c>
      <c r="F766" s="3" t="s">
        <v>2445</v>
      </c>
      <c r="G766" s="3" t="s">
        <v>2446</v>
      </c>
      <c r="H766" s="2" t="str">
        <f>"2012"</f>
        <v>2012</v>
      </c>
      <c r="I766" t="s">
        <v>14</v>
      </c>
      <c r="J766" t="s">
        <v>15</v>
      </c>
    </row>
    <row r="767" spans="1:10">
      <c r="A767" s="2" t="str">
        <f>"764"</f>
        <v>764</v>
      </c>
      <c r="B767" s="2" t="s">
        <v>9</v>
      </c>
      <c r="C767" s="2" t="str">
        <f>"1 (1)"</f>
        <v>1 (1)</v>
      </c>
      <c r="D767" s="2" t="s">
        <v>2447</v>
      </c>
      <c r="E767" s="5" t="s">
        <v>2448</v>
      </c>
      <c r="F767" s="3" t="s">
        <v>2449</v>
      </c>
      <c r="G767" s="3" t="s">
        <v>2450</v>
      </c>
      <c r="H767" s="2" t="str">
        <f>"2012"</f>
        <v>2012</v>
      </c>
      <c r="I767" t="s">
        <v>14</v>
      </c>
      <c r="J767" t="s">
        <v>15</v>
      </c>
    </row>
    <row r="768" spans="1:10">
      <c r="A768" s="2" t="str">
        <f>"765"</f>
        <v>765</v>
      </c>
      <c r="B768" s="2" t="s">
        <v>9</v>
      </c>
      <c r="C768" s="2" t="str">
        <f>"1 (1)"</f>
        <v>1 (1)</v>
      </c>
      <c r="D768" s="2" t="s">
        <v>2451</v>
      </c>
      <c r="E768" s="5" t="s">
        <v>2452</v>
      </c>
      <c r="F768" s="3" t="s">
        <v>2453</v>
      </c>
      <c r="G768" s="3" t="s">
        <v>1991</v>
      </c>
      <c r="H768" s="2" t="str">
        <f>"2012"</f>
        <v>2012</v>
      </c>
      <c r="I768" t="s">
        <v>14</v>
      </c>
      <c r="J768" t="s">
        <v>15</v>
      </c>
    </row>
    <row r="769" spans="1:10">
      <c r="A769" s="2" t="str">
        <f>"766"</f>
        <v>766</v>
      </c>
      <c r="B769" s="2" t="s">
        <v>9</v>
      </c>
      <c r="C769" s="2" t="str">
        <f>"1 (1)"</f>
        <v>1 (1)</v>
      </c>
      <c r="D769" s="2" t="s">
        <v>2454</v>
      </c>
      <c r="E769" s="5" t="s">
        <v>2455</v>
      </c>
      <c r="F769" s="3" t="s">
        <v>2456</v>
      </c>
      <c r="G769" s="3" t="s">
        <v>1991</v>
      </c>
      <c r="H769" s="2" t="str">
        <f>"2012"</f>
        <v>2012</v>
      </c>
      <c r="I769" t="s">
        <v>14</v>
      </c>
      <c r="J769" t="s">
        <v>15</v>
      </c>
    </row>
    <row r="770" spans="1:10">
      <c r="A770" s="2" t="str">
        <f>"767"</f>
        <v>767</v>
      </c>
      <c r="B770" s="2" t="s">
        <v>9</v>
      </c>
      <c r="C770" s="2" t="str">
        <f>"1 (1)"</f>
        <v>1 (1)</v>
      </c>
      <c r="D770" s="2" t="s">
        <v>2457</v>
      </c>
      <c r="E770" s="5" t="s">
        <v>2458</v>
      </c>
      <c r="F770" s="3" t="s">
        <v>2459</v>
      </c>
      <c r="G770" s="3" t="s">
        <v>1991</v>
      </c>
      <c r="H770" s="2" t="str">
        <f>"2012"</f>
        <v>2012</v>
      </c>
      <c r="I770" t="s">
        <v>14</v>
      </c>
      <c r="J770" t="s">
        <v>15</v>
      </c>
    </row>
    <row r="771" spans="1:10">
      <c r="A771" s="2" t="str">
        <f>"768"</f>
        <v>768</v>
      </c>
      <c r="B771" s="2" t="s">
        <v>9</v>
      </c>
      <c r="C771" s="2" t="str">
        <f>"1 (1)"</f>
        <v>1 (1)</v>
      </c>
      <c r="D771" s="2" t="s">
        <v>2460</v>
      </c>
      <c r="E771" s="5" t="s">
        <v>2461</v>
      </c>
      <c r="F771" s="3" t="s">
        <v>2462</v>
      </c>
      <c r="G771" s="3" t="s">
        <v>2463</v>
      </c>
      <c r="H771" s="2" t="str">
        <f>"2012"</f>
        <v>2012</v>
      </c>
      <c r="I771" t="s">
        <v>14</v>
      </c>
      <c r="J771" t="s">
        <v>15</v>
      </c>
    </row>
    <row r="772" spans="1:10">
      <c r="A772" s="2" t="str">
        <f>"769"</f>
        <v>769</v>
      </c>
      <c r="B772" s="2" t="s">
        <v>9</v>
      </c>
      <c r="C772" s="2" t="str">
        <f>"1 (1)"</f>
        <v>1 (1)</v>
      </c>
      <c r="D772" s="2" t="s">
        <v>2464</v>
      </c>
      <c r="E772" s="5" t="s">
        <v>2465</v>
      </c>
      <c r="F772" s="3" t="s">
        <v>2466</v>
      </c>
      <c r="G772" s="3" t="s">
        <v>2467</v>
      </c>
      <c r="H772" s="2" t="str">
        <f>"2012"</f>
        <v>2012</v>
      </c>
      <c r="I772" t="s">
        <v>14</v>
      </c>
      <c r="J772" t="s">
        <v>15</v>
      </c>
    </row>
    <row r="773" spans="1:10">
      <c r="A773" s="2" t="str">
        <f>"770"</f>
        <v>770</v>
      </c>
      <c r="B773" s="2" t="s">
        <v>9</v>
      </c>
      <c r="C773" s="2" t="str">
        <f>"1 (1)"</f>
        <v>1 (1)</v>
      </c>
      <c r="D773" s="2" t="s">
        <v>2468</v>
      </c>
      <c r="E773" s="5" t="s">
        <v>2469</v>
      </c>
      <c r="F773" s="3" t="s">
        <v>2470</v>
      </c>
      <c r="G773" s="3" t="s">
        <v>2467</v>
      </c>
      <c r="H773" s="2" t="str">
        <f>"2012"</f>
        <v>2012</v>
      </c>
      <c r="I773" t="s">
        <v>14</v>
      </c>
      <c r="J773" t="s">
        <v>15</v>
      </c>
    </row>
    <row r="774" spans="1:10">
      <c r="A774" s="2" t="str">
        <f>"771"</f>
        <v>771</v>
      </c>
      <c r="B774" s="2" t="s">
        <v>9</v>
      </c>
      <c r="C774" s="2" t="str">
        <f>"1 (1)"</f>
        <v>1 (1)</v>
      </c>
      <c r="D774" s="2" t="s">
        <v>2471</v>
      </c>
      <c r="E774" s="5" t="s">
        <v>2472</v>
      </c>
      <c r="F774" s="3" t="s">
        <v>2473</v>
      </c>
      <c r="G774" s="3" t="s">
        <v>2474</v>
      </c>
      <c r="H774" s="2" t="str">
        <f>"2012"</f>
        <v>2012</v>
      </c>
      <c r="I774" t="s">
        <v>14</v>
      </c>
      <c r="J774" t="s">
        <v>15</v>
      </c>
    </row>
    <row r="775" spans="1:10">
      <c r="A775" s="2" t="str">
        <f>"772"</f>
        <v>772</v>
      </c>
      <c r="B775" s="2" t="s">
        <v>9</v>
      </c>
      <c r="C775" s="2" t="str">
        <f>"1 (1)"</f>
        <v>1 (1)</v>
      </c>
      <c r="D775" s="2" t="s">
        <v>2475</v>
      </c>
      <c r="E775" s="5" t="s">
        <v>2476</v>
      </c>
      <c r="F775" s="3" t="s">
        <v>2477</v>
      </c>
      <c r="G775" s="3" t="s">
        <v>2474</v>
      </c>
      <c r="H775" s="2" t="str">
        <f>"2012"</f>
        <v>2012</v>
      </c>
      <c r="I775" t="s">
        <v>14</v>
      </c>
      <c r="J775" t="s">
        <v>15</v>
      </c>
    </row>
    <row r="776" spans="1:10">
      <c r="A776" s="2" t="str">
        <f>"773"</f>
        <v>773</v>
      </c>
      <c r="B776" s="2" t="s">
        <v>9</v>
      </c>
      <c r="C776" s="2" t="str">
        <f>"1 (1)"</f>
        <v>1 (1)</v>
      </c>
      <c r="D776" s="2" t="s">
        <v>2478</v>
      </c>
      <c r="E776" s="5" t="s">
        <v>2479</v>
      </c>
      <c r="F776" s="3" t="s">
        <v>2480</v>
      </c>
      <c r="G776" s="3" t="s">
        <v>2474</v>
      </c>
      <c r="H776" s="2" t="str">
        <f>"2012"</f>
        <v>2012</v>
      </c>
      <c r="I776" t="s">
        <v>14</v>
      </c>
      <c r="J776" t="s">
        <v>15</v>
      </c>
    </row>
    <row r="777" spans="1:10">
      <c r="A777" s="2" t="str">
        <f>"774"</f>
        <v>774</v>
      </c>
      <c r="B777" s="2" t="s">
        <v>9</v>
      </c>
      <c r="C777" s="2" t="str">
        <f>"1 (1)"</f>
        <v>1 (1)</v>
      </c>
      <c r="D777" s="2" t="s">
        <v>2481</v>
      </c>
      <c r="E777" s="5" t="s">
        <v>2482</v>
      </c>
      <c r="F777" s="3" t="s">
        <v>2483</v>
      </c>
      <c r="G777" s="3" t="s">
        <v>2484</v>
      </c>
      <c r="H777" s="2" t="str">
        <f>"2012"</f>
        <v>2012</v>
      </c>
      <c r="I777" t="s">
        <v>14</v>
      </c>
      <c r="J777" t="s">
        <v>15</v>
      </c>
    </row>
    <row r="778" spans="1:10">
      <c r="A778" s="2" t="str">
        <f>"775"</f>
        <v>775</v>
      </c>
      <c r="B778" s="2" t="s">
        <v>9</v>
      </c>
      <c r="C778" s="2" t="str">
        <f>"1 (1)"</f>
        <v>1 (1)</v>
      </c>
      <c r="D778" s="2" t="s">
        <v>2485</v>
      </c>
      <c r="E778" s="5" t="s">
        <v>2486</v>
      </c>
      <c r="F778" s="3" t="s">
        <v>2487</v>
      </c>
      <c r="G778" s="3" t="s">
        <v>2488</v>
      </c>
      <c r="H778" s="2" t="str">
        <f>"2012"</f>
        <v>2012</v>
      </c>
      <c r="I778" t="s">
        <v>14</v>
      </c>
      <c r="J778" t="s">
        <v>15</v>
      </c>
    </row>
    <row r="779" spans="1:10">
      <c r="A779" s="2" t="str">
        <f>"776"</f>
        <v>776</v>
      </c>
      <c r="B779" s="2" t="s">
        <v>9</v>
      </c>
      <c r="C779" s="2" t="str">
        <f>"1 (1)"</f>
        <v>1 (1)</v>
      </c>
      <c r="D779" s="2" t="s">
        <v>2489</v>
      </c>
      <c r="E779" s="5" t="s">
        <v>2490</v>
      </c>
      <c r="F779" s="3" t="s">
        <v>2491</v>
      </c>
      <c r="G779" s="3" t="s">
        <v>2492</v>
      </c>
      <c r="H779" s="2" t="str">
        <f>"2012"</f>
        <v>2012</v>
      </c>
      <c r="I779" t="s">
        <v>14</v>
      </c>
      <c r="J779" t="s">
        <v>15</v>
      </c>
    </row>
    <row r="780" spans="1:10">
      <c r="A780" s="2" t="str">
        <f>"777"</f>
        <v>777</v>
      </c>
      <c r="B780" s="2" t="s">
        <v>9</v>
      </c>
      <c r="C780" s="2" t="str">
        <f>"1 (1)"</f>
        <v>1 (1)</v>
      </c>
      <c r="D780" s="2" t="s">
        <v>2493</v>
      </c>
      <c r="E780" s="5" t="s">
        <v>2494</v>
      </c>
      <c r="F780" s="3" t="s">
        <v>2495</v>
      </c>
      <c r="G780" s="3" t="s">
        <v>2496</v>
      </c>
      <c r="H780" s="2" t="str">
        <f>"2012"</f>
        <v>2012</v>
      </c>
      <c r="I780" t="s">
        <v>14</v>
      </c>
      <c r="J780" t="s">
        <v>15</v>
      </c>
    </row>
    <row r="781" spans="1:10">
      <c r="A781" s="2" t="str">
        <f>"778"</f>
        <v>778</v>
      </c>
      <c r="B781" s="2" t="s">
        <v>9</v>
      </c>
      <c r="C781" s="2" t="str">
        <f>"1 (1)"</f>
        <v>1 (1)</v>
      </c>
      <c r="D781" s="2" t="s">
        <v>2497</v>
      </c>
      <c r="E781" s="5" t="s">
        <v>2498</v>
      </c>
      <c r="F781" s="3" t="s">
        <v>2499</v>
      </c>
      <c r="G781" s="3" t="s">
        <v>2500</v>
      </c>
      <c r="H781" s="2" t="str">
        <f>"2012"</f>
        <v>2012</v>
      </c>
      <c r="I781" t="s">
        <v>14</v>
      </c>
      <c r="J781" t="s">
        <v>15</v>
      </c>
    </row>
    <row r="782" spans="1:10">
      <c r="A782" s="2" t="str">
        <f>"779"</f>
        <v>779</v>
      </c>
      <c r="B782" s="2" t="s">
        <v>9</v>
      </c>
      <c r="C782" s="2" t="str">
        <f>"1 (1)"</f>
        <v>1 (1)</v>
      </c>
      <c r="D782" s="2" t="s">
        <v>2501</v>
      </c>
      <c r="E782" s="5" t="s">
        <v>2502</v>
      </c>
      <c r="F782" s="3" t="s">
        <v>2503</v>
      </c>
      <c r="G782" s="3" t="s">
        <v>2504</v>
      </c>
      <c r="H782" s="2" t="str">
        <f>"2012"</f>
        <v>2012</v>
      </c>
      <c r="I782" t="s">
        <v>14</v>
      </c>
      <c r="J782" t="s">
        <v>15</v>
      </c>
    </row>
    <row r="783" spans="1:10">
      <c r="A783" s="2" t="str">
        <f>"780"</f>
        <v>780</v>
      </c>
      <c r="B783" s="2" t="s">
        <v>9</v>
      </c>
      <c r="C783" s="2" t="str">
        <f>"1 (1)"</f>
        <v>1 (1)</v>
      </c>
      <c r="D783" s="2" t="s">
        <v>2505</v>
      </c>
      <c r="E783" s="5" t="s">
        <v>2506</v>
      </c>
      <c r="F783" s="3" t="s">
        <v>2507</v>
      </c>
      <c r="G783" s="3" t="s">
        <v>2508</v>
      </c>
      <c r="H783" s="2" t="str">
        <f>"2012"</f>
        <v>2012</v>
      </c>
      <c r="I783" t="s">
        <v>14</v>
      </c>
      <c r="J783" t="s">
        <v>15</v>
      </c>
    </row>
    <row r="784" spans="1:10">
      <c r="A784" s="2" t="str">
        <f>"781"</f>
        <v>781</v>
      </c>
      <c r="B784" s="2" t="s">
        <v>9</v>
      </c>
      <c r="C784" s="2" t="str">
        <f>"1 (1)"</f>
        <v>1 (1)</v>
      </c>
      <c r="D784" s="2" t="s">
        <v>2509</v>
      </c>
      <c r="E784" s="5" t="s">
        <v>2510</v>
      </c>
      <c r="F784" s="3" t="s">
        <v>2507</v>
      </c>
      <c r="G784" s="3" t="s">
        <v>2508</v>
      </c>
      <c r="H784" s="2" t="str">
        <f>"2012"</f>
        <v>2012</v>
      </c>
      <c r="I784" t="s">
        <v>14</v>
      </c>
      <c r="J784" t="s">
        <v>15</v>
      </c>
    </row>
    <row r="785" spans="1:10">
      <c r="A785" s="2" t="str">
        <f>"782"</f>
        <v>782</v>
      </c>
      <c r="B785" s="2" t="s">
        <v>9</v>
      </c>
      <c r="C785" s="2" t="str">
        <f>"1 (1)"</f>
        <v>1 (1)</v>
      </c>
      <c r="D785" s="2" t="s">
        <v>2511</v>
      </c>
      <c r="E785" s="5" t="s">
        <v>2512</v>
      </c>
      <c r="F785" s="3" t="s">
        <v>2513</v>
      </c>
      <c r="G785" s="3" t="s">
        <v>2514</v>
      </c>
      <c r="H785" s="2" t="str">
        <f>"2012"</f>
        <v>2012</v>
      </c>
      <c r="I785" t="s">
        <v>14</v>
      </c>
      <c r="J785" t="s">
        <v>15</v>
      </c>
    </row>
    <row r="786" spans="1:10">
      <c r="A786" s="2" t="str">
        <f>"783"</f>
        <v>783</v>
      </c>
      <c r="B786" s="2" t="s">
        <v>9</v>
      </c>
      <c r="C786" s="2" t="str">
        <f>"1 (1)"</f>
        <v>1 (1)</v>
      </c>
      <c r="D786" s="2" t="s">
        <v>2515</v>
      </c>
      <c r="E786" s="5" t="s">
        <v>2516</v>
      </c>
      <c r="F786" s="3" t="s">
        <v>2513</v>
      </c>
      <c r="G786" s="3" t="s">
        <v>2514</v>
      </c>
      <c r="H786" s="2" t="str">
        <f>"2012"</f>
        <v>2012</v>
      </c>
      <c r="I786" t="s">
        <v>14</v>
      </c>
      <c r="J786" t="s">
        <v>15</v>
      </c>
    </row>
    <row r="787" spans="1:10">
      <c r="A787" s="2" t="str">
        <f>"784"</f>
        <v>784</v>
      </c>
      <c r="B787" s="2" t="s">
        <v>9</v>
      </c>
      <c r="C787" s="2" t="str">
        <f>"1 (1)"</f>
        <v>1 (1)</v>
      </c>
      <c r="D787" s="2" t="s">
        <v>2517</v>
      </c>
      <c r="E787" s="5" t="s">
        <v>2518</v>
      </c>
      <c r="F787" s="3" t="s">
        <v>2513</v>
      </c>
      <c r="G787" s="3" t="s">
        <v>2514</v>
      </c>
      <c r="H787" s="2" t="str">
        <f>"2012"</f>
        <v>2012</v>
      </c>
      <c r="I787" t="s">
        <v>14</v>
      </c>
      <c r="J787" t="s">
        <v>15</v>
      </c>
    </row>
    <row r="788" spans="1:10">
      <c r="A788" s="2" t="str">
        <f>"785"</f>
        <v>785</v>
      </c>
      <c r="B788" s="2" t="s">
        <v>9</v>
      </c>
      <c r="C788" s="2" t="str">
        <f>"1 (1)"</f>
        <v>1 (1)</v>
      </c>
      <c r="D788" s="2" t="s">
        <v>2519</v>
      </c>
      <c r="E788" s="5" t="s">
        <v>2520</v>
      </c>
      <c r="F788" s="3" t="s">
        <v>2521</v>
      </c>
      <c r="G788" s="3" t="s">
        <v>2522</v>
      </c>
      <c r="H788" s="2" t="str">
        <f>"2012"</f>
        <v>2012</v>
      </c>
      <c r="I788" t="s">
        <v>14</v>
      </c>
      <c r="J788" t="s">
        <v>15</v>
      </c>
    </row>
    <row r="789" spans="1:10">
      <c r="A789" s="2" t="str">
        <f>"786"</f>
        <v>786</v>
      </c>
      <c r="B789" s="2" t="s">
        <v>9</v>
      </c>
      <c r="C789" s="2" t="str">
        <f>"1 (1)"</f>
        <v>1 (1)</v>
      </c>
      <c r="D789" s="2" t="s">
        <v>2523</v>
      </c>
      <c r="E789" s="5" t="s">
        <v>2524</v>
      </c>
      <c r="F789" s="3" t="s">
        <v>2525</v>
      </c>
      <c r="G789" s="3" t="s">
        <v>2526</v>
      </c>
      <c r="H789" s="2" t="str">
        <f>"2012"</f>
        <v>2012</v>
      </c>
      <c r="I789" t="s">
        <v>14</v>
      </c>
      <c r="J789" t="s">
        <v>15</v>
      </c>
    </row>
    <row r="790" spans="1:10">
      <c r="A790" s="2" t="str">
        <f>"787"</f>
        <v>787</v>
      </c>
      <c r="B790" s="2" t="s">
        <v>9</v>
      </c>
      <c r="C790" s="2" t="str">
        <f>"1 (1)"</f>
        <v>1 (1)</v>
      </c>
      <c r="D790" s="2" t="s">
        <v>2527</v>
      </c>
      <c r="E790" s="5" t="s">
        <v>2528</v>
      </c>
      <c r="F790" s="3" t="s">
        <v>2529</v>
      </c>
      <c r="G790" s="3" t="s">
        <v>2526</v>
      </c>
      <c r="H790" s="2" t="str">
        <f>"2012"</f>
        <v>2012</v>
      </c>
      <c r="I790" t="s">
        <v>14</v>
      </c>
      <c r="J790" t="s">
        <v>15</v>
      </c>
    </row>
    <row r="791" spans="1:10">
      <c r="A791" s="2" t="str">
        <f>"788"</f>
        <v>788</v>
      </c>
      <c r="B791" s="2" t="s">
        <v>9</v>
      </c>
      <c r="C791" s="2" t="str">
        <f>"1 (1)"</f>
        <v>1 (1)</v>
      </c>
      <c r="D791" s="2" t="s">
        <v>2530</v>
      </c>
      <c r="E791" s="5" t="s">
        <v>2531</v>
      </c>
      <c r="F791" s="3" t="s">
        <v>2532</v>
      </c>
      <c r="G791" s="3" t="s">
        <v>2533</v>
      </c>
      <c r="H791" s="2" t="str">
        <f>"2012"</f>
        <v>2012</v>
      </c>
      <c r="I791" t="s">
        <v>14</v>
      </c>
      <c r="J791" t="s">
        <v>15</v>
      </c>
    </row>
    <row r="792" spans="1:10">
      <c r="A792" s="2" t="str">
        <f>"789"</f>
        <v>789</v>
      </c>
      <c r="B792" s="2" t="s">
        <v>9</v>
      </c>
      <c r="C792" s="2" t="str">
        <f>"1 (1)"</f>
        <v>1 (1)</v>
      </c>
      <c r="D792" s="2" t="s">
        <v>2534</v>
      </c>
      <c r="E792" s="5" t="s">
        <v>2535</v>
      </c>
      <c r="F792" s="3" t="s">
        <v>2536</v>
      </c>
      <c r="G792" s="3" t="s">
        <v>2537</v>
      </c>
      <c r="H792" s="2" t="str">
        <f>"2012"</f>
        <v>2012</v>
      </c>
      <c r="I792" t="s">
        <v>14</v>
      </c>
      <c r="J792" t="s">
        <v>15</v>
      </c>
    </row>
    <row r="793" spans="1:10">
      <c r="A793" s="2" t="str">
        <f>"790"</f>
        <v>790</v>
      </c>
      <c r="B793" s="2" t="s">
        <v>9</v>
      </c>
      <c r="C793" s="2" t="str">
        <f>"1 (1)"</f>
        <v>1 (1)</v>
      </c>
      <c r="D793" s="2" t="s">
        <v>2538</v>
      </c>
      <c r="E793" s="5" t="s">
        <v>2539</v>
      </c>
      <c r="F793" s="3" t="s">
        <v>2540</v>
      </c>
      <c r="G793" s="3" t="s">
        <v>2541</v>
      </c>
      <c r="H793" s="2" t="str">
        <f>"2012"</f>
        <v>2012</v>
      </c>
      <c r="I793" t="s">
        <v>14</v>
      </c>
      <c r="J793" t="s">
        <v>15</v>
      </c>
    </row>
    <row r="794" spans="1:10">
      <c r="A794" s="2" t="str">
        <f>"791"</f>
        <v>791</v>
      </c>
      <c r="B794" s="2" t="s">
        <v>9</v>
      </c>
      <c r="C794" s="2" t="str">
        <f>"1 (1)"</f>
        <v>1 (1)</v>
      </c>
      <c r="D794" s="2" t="s">
        <v>2542</v>
      </c>
      <c r="E794" s="5" t="s">
        <v>2543</v>
      </c>
      <c r="F794" s="3" t="s">
        <v>2544</v>
      </c>
      <c r="G794" s="3" t="s">
        <v>2545</v>
      </c>
      <c r="H794" s="2" t="str">
        <f>"2012"</f>
        <v>2012</v>
      </c>
      <c r="I794" t="s">
        <v>14</v>
      </c>
      <c r="J794" t="s">
        <v>15</v>
      </c>
    </row>
    <row r="795" spans="1:10">
      <c r="A795" s="2" t="str">
        <f>"792"</f>
        <v>792</v>
      </c>
      <c r="B795" s="2" t="s">
        <v>9</v>
      </c>
      <c r="C795" s="2" t="str">
        <f>"1 (1)"</f>
        <v>1 (1)</v>
      </c>
      <c r="D795" s="2" t="s">
        <v>2546</v>
      </c>
      <c r="E795" s="5" t="s">
        <v>2547</v>
      </c>
      <c r="F795" s="3" t="s">
        <v>2548</v>
      </c>
      <c r="G795" s="3" t="s">
        <v>2549</v>
      </c>
      <c r="H795" s="2" t="str">
        <f>"2012"</f>
        <v>2012</v>
      </c>
      <c r="I795" t="s">
        <v>14</v>
      </c>
      <c r="J795" t="s">
        <v>15</v>
      </c>
    </row>
    <row r="796" spans="1:10">
      <c r="A796" s="2" t="str">
        <f>"793"</f>
        <v>793</v>
      </c>
      <c r="B796" s="2" t="s">
        <v>9</v>
      </c>
      <c r="C796" s="2" t="str">
        <f>"1 (1)"</f>
        <v>1 (1)</v>
      </c>
      <c r="D796" s="2" t="s">
        <v>2550</v>
      </c>
      <c r="E796" s="5" t="s">
        <v>2551</v>
      </c>
      <c r="F796" s="3" t="s">
        <v>2552</v>
      </c>
      <c r="G796" s="3" t="s">
        <v>2553</v>
      </c>
      <c r="H796" s="2" t="str">
        <f>"2012"</f>
        <v>2012</v>
      </c>
      <c r="I796" t="s">
        <v>14</v>
      </c>
      <c r="J796" t="s">
        <v>15</v>
      </c>
    </row>
    <row r="797" spans="1:10">
      <c r="A797" s="2" t="str">
        <f>"794"</f>
        <v>794</v>
      </c>
      <c r="B797" s="2" t="s">
        <v>9</v>
      </c>
      <c r="C797" s="2" t="str">
        <f>"1 (1)"</f>
        <v>1 (1)</v>
      </c>
      <c r="D797" s="2" t="s">
        <v>2554</v>
      </c>
      <c r="E797" s="5" t="str">
        <f>"12초마다 한 마리씩  : 미국 도축 현장 잠입 보고서"</f>
        <v>12초마다 한 마리씩  : 미국 도축 현장 잠입 보고서</v>
      </c>
      <c r="F797" s="3" t="s">
        <v>2555</v>
      </c>
      <c r="G797" s="3" t="s">
        <v>2556</v>
      </c>
      <c r="H797" s="2" t="str">
        <f>"2012"</f>
        <v>2012</v>
      </c>
      <c r="I797" t="s">
        <v>14</v>
      </c>
      <c r="J797" t="s">
        <v>15</v>
      </c>
    </row>
    <row r="798" spans="1:10">
      <c r="A798" s="2" t="str">
        <f>"795"</f>
        <v>795</v>
      </c>
      <c r="B798" s="2" t="s">
        <v>9</v>
      </c>
      <c r="C798" s="2" t="str">
        <f>"1 (1)"</f>
        <v>1 (1)</v>
      </c>
      <c r="D798" s="2" t="s">
        <v>2557</v>
      </c>
      <c r="E798" s="5" t="str">
        <f>"13일  : 쿠바 미사일 위기 회고록"</f>
        <v>13일  : 쿠바 미사일 위기 회고록</v>
      </c>
      <c r="F798" s="3" t="s">
        <v>2558</v>
      </c>
      <c r="G798" s="3" t="s">
        <v>2450</v>
      </c>
      <c r="H798" s="2" t="str">
        <f>"2012"</f>
        <v>2012</v>
      </c>
      <c r="I798" t="s">
        <v>14</v>
      </c>
      <c r="J798" t="s">
        <v>15</v>
      </c>
    </row>
    <row r="799" spans="1:10">
      <c r="A799" s="2" t="str">
        <f>"796"</f>
        <v>796</v>
      </c>
      <c r="B799" s="2" t="s">
        <v>9</v>
      </c>
      <c r="C799" s="2" t="str">
        <f>"1 (1)"</f>
        <v>1 (1)</v>
      </c>
      <c r="D799" s="2" t="s">
        <v>2559</v>
      </c>
      <c r="E799" s="5" t="s">
        <v>2560</v>
      </c>
      <c r="F799" s="3" t="s">
        <v>2561</v>
      </c>
      <c r="G799" s="3" t="s">
        <v>2562</v>
      </c>
      <c r="H799" s="2" t="str">
        <f>"2012"</f>
        <v>2012</v>
      </c>
      <c r="I799" t="s">
        <v>14</v>
      </c>
      <c r="J799" t="s">
        <v>15</v>
      </c>
    </row>
    <row r="800" spans="1:10">
      <c r="A800" s="2" t="str">
        <f>"797"</f>
        <v>797</v>
      </c>
      <c r="B800" s="2" t="s">
        <v>9</v>
      </c>
      <c r="C800" s="2" t="str">
        <f>"1 (1)"</f>
        <v>1 (1)</v>
      </c>
      <c r="D800" s="2" t="s">
        <v>2563</v>
      </c>
      <c r="E800" s="5" t="s">
        <v>2564</v>
      </c>
      <c r="F800" s="3" t="s">
        <v>2565</v>
      </c>
      <c r="G800" s="3" t="s">
        <v>2566</v>
      </c>
      <c r="H800" s="2" t="str">
        <f>"2012"</f>
        <v>2012</v>
      </c>
      <c r="I800" t="s">
        <v>14</v>
      </c>
      <c r="J800" t="s">
        <v>15</v>
      </c>
    </row>
    <row r="801" spans="1:10">
      <c r="A801" s="2" t="str">
        <f>"798"</f>
        <v>798</v>
      </c>
      <c r="B801" s="2" t="s">
        <v>9</v>
      </c>
      <c r="C801" s="2" t="str">
        <f>"1 (1)"</f>
        <v>1 (1)</v>
      </c>
      <c r="D801" s="2" t="s">
        <v>2567</v>
      </c>
      <c r="E801" s="5" t="str">
        <f>"21세기 창업과 경영"</f>
        <v>21세기 창업과 경영</v>
      </c>
      <c r="F801" s="3" t="s">
        <v>2568</v>
      </c>
      <c r="G801" s="3" t="s">
        <v>2569</v>
      </c>
      <c r="H801" s="2" t="str">
        <f>"2012"</f>
        <v>2012</v>
      </c>
      <c r="I801" t="s">
        <v>14</v>
      </c>
      <c r="J801" t="s">
        <v>15</v>
      </c>
    </row>
    <row r="802" spans="1:10">
      <c r="A802" s="2" t="str">
        <f>"799"</f>
        <v>799</v>
      </c>
      <c r="B802" s="2" t="s">
        <v>9</v>
      </c>
      <c r="C802" s="2" t="str">
        <f>"1 (1)"</f>
        <v>1 (1)</v>
      </c>
      <c r="D802" s="2" t="s">
        <v>2570</v>
      </c>
      <c r="E802" s="5" t="str">
        <f>"3일 만에 끝내는 입학사정관제  : 수험생의 1분을 아끼는 족집게 실전 전략"</f>
        <v>3일 만에 끝내는 입학사정관제  : 수험생의 1분을 아끼는 족집게 실전 전략</v>
      </c>
      <c r="F802" s="3" t="s">
        <v>2571</v>
      </c>
      <c r="G802" s="3" t="s">
        <v>2572</v>
      </c>
      <c r="H802" s="2" t="str">
        <f>"2012"</f>
        <v>2012</v>
      </c>
      <c r="I802" t="s">
        <v>14</v>
      </c>
      <c r="J802" t="s">
        <v>15</v>
      </c>
    </row>
    <row r="803" spans="1:10">
      <c r="A803" s="2" t="str">
        <f>"800"</f>
        <v>800</v>
      </c>
      <c r="B803" s="2" t="s">
        <v>9</v>
      </c>
      <c r="C803" s="2" t="str">
        <f>"1 (1)"</f>
        <v>1 (1)</v>
      </c>
      <c r="D803" s="2" t="s">
        <v>2573</v>
      </c>
      <c r="E803" s="5" t="str">
        <f>"88만원 세대에 답한다  : 한반도통일과, 먹고사는 중산층 75%사회 지침서"</f>
        <v>88만원 세대에 답한다  : 한반도통일과, 먹고사는 중산층 75%사회 지침서</v>
      </c>
      <c r="F803" s="3" t="s">
        <v>2574</v>
      </c>
      <c r="G803" s="3" t="s">
        <v>2575</v>
      </c>
      <c r="H803" s="2" t="str">
        <f>"2012"</f>
        <v>2012</v>
      </c>
      <c r="I803" t="s">
        <v>14</v>
      </c>
      <c r="J803" t="s">
        <v>15</v>
      </c>
    </row>
    <row r="804" spans="1:10">
      <c r="A804" s="2" t="str">
        <f>"801"</f>
        <v>801</v>
      </c>
      <c r="B804" s="2" t="s">
        <v>9</v>
      </c>
      <c r="C804" s="2" t="str">
        <f>"1 (1)"</f>
        <v>1 (1)</v>
      </c>
      <c r="D804" s="2" t="s">
        <v>2576</v>
      </c>
      <c r="E804" s="5" t="s">
        <v>2577</v>
      </c>
      <c r="F804" s="3" t="s">
        <v>2578</v>
      </c>
      <c r="G804" s="3" t="s">
        <v>2579</v>
      </c>
      <c r="H804" s="2" t="str">
        <f>"2012"</f>
        <v>2012</v>
      </c>
      <c r="I804" t="s">
        <v>14</v>
      </c>
      <c r="J804" t="s">
        <v>15</v>
      </c>
    </row>
    <row r="805" spans="1:10">
      <c r="A805" s="2" t="str">
        <f>"802"</f>
        <v>802</v>
      </c>
      <c r="B805" s="2" t="s">
        <v>9</v>
      </c>
      <c r="C805" s="2" t="str">
        <f>"1 (1)"</f>
        <v>1 (1)</v>
      </c>
      <c r="D805" s="2" t="s">
        <v>2580</v>
      </c>
      <c r="E805" s="5" t="s">
        <v>2581</v>
      </c>
      <c r="F805" s="3" t="s">
        <v>2582</v>
      </c>
      <c r="G805" s="3" t="s">
        <v>2126</v>
      </c>
      <c r="H805" s="2" t="str">
        <f>"2012"</f>
        <v>2012</v>
      </c>
      <c r="I805" t="s">
        <v>14</v>
      </c>
      <c r="J805" t="s">
        <v>15</v>
      </c>
    </row>
    <row r="806" spans="1:10">
      <c r="A806" s="2" t="str">
        <f>"803"</f>
        <v>803</v>
      </c>
      <c r="B806" s="2" t="s">
        <v>9</v>
      </c>
      <c r="C806" s="2" t="str">
        <f>"1 (1)"</f>
        <v>1 (1)</v>
      </c>
      <c r="D806" s="2" t="s">
        <v>2583</v>
      </c>
      <c r="E806" s="5" t="s">
        <v>2584</v>
      </c>
      <c r="F806" s="3" t="s">
        <v>2585</v>
      </c>
      <c r="G806" s="3" t="s">
        <v>2586</v>
      </c>
      <c r="H806" s="2" t="str">
        <f>"2012"</f>
        <v>2012</v>
      </c>
      <c r="I806" t="s">
        <v>14</v>
      </c>
      <c r="J806" t="s">
        <v>15</v>
      </c>
    </row>
    <row r="807" spans="1:10">
      <c r="A807" s="2" t="str">
        <f>"804"</f>
        <v>804</v>
      </c>
      <c r="B807" s="2" t="s">
        <v>9</v>
      </c>
      <c r="C807" s="2" t="str">
        <f>"1 (1)"</f>
        <v>1 (1)</v>
      </c>
      <c r="D807" s="2" t="s">
        <v>2587</v>
      </c>
      <c r="E807" s="5" t="s">
        <v>2588</v>
      </c>
      <c r="F807" s="3" t="s">
        <v>2589</v>
      </c>
      <c r="G807" s="3" t="s">
        <v>2590</v>
      </c>
      <c r="H807" s="2" t="str">
        <f>"2012"</f>
        <v>2012</v>
      </c>
      <c r="I807" t="s">
        <v>14</v>
      </c>
      <c r="J807" t="s">
        <v>15</v>
      </c>
    </row>
    <row r="808" spans="1:10">
      <c r="A808" s="2" t="str">
        <f>"805"</f>
        <v>805</v>
      </c>
      <c r="B808" s="2" t="s">
        <v>9</v>
      </c>
      <c r="C808" s="2" t="str">
        <f>"1 (1)"</f>
        <v>1 (1)</v>
      </c>
      <c r="D808" s="2" t="s">
        <v>2591</v>
      </c>
      <c r="E808" s="5" t="s">
        <v>2592</v>
      </c>
      <c r="F808" s="3" t="s">
        <v>2593</v>
      </c>
      <c r="G808" s="3" t="s">
        <v>2594</v>
      </c>
      <c r="H808" s="2" t="str">
        <f>"2012"</f>
        <v>2012</v>
      </c>
      <c r="I808" t="s">
        <v>14</v>
      </c>
      <c r="J808" t="s">
        <v>15</v>
      </c>
    </row>
    <row r="809" spans="1:10">
      <c r="A809" s="2" t="str">
        <f>"806"</f>
        <v>806</v>
      </c>
      <c r="B809" s="2" t="s">
        <v>9</v>
      </c>
      <c r="C809" s="2" t="str">
        <f>"1 (1)"</f>
        <v>1 (1)</v>
      </c>
      <c r="D809" s="2" t="s">
        <v>2595</v>
      </c>
      <c r="E809" s="5" t="s">
        <v>2596</v>
      </c>
      <c r="F809" s="3" t="s">
        <v>2597</v>
      </c>
      <c r="G809" s="3" t="s">
        <v>2598</v>
      </c>
      <c r="H809" s="2" t="str">
        <f>"2012"</f>
        <v>2012</v>
      </c>
      <c r="I809" t="s">
        <v>14</v>
      </c>
      <c r="J809" t="s">
        <v>15</v>
      </c>
    </row>
    <row r="810" spans="1:10">
      <c r="A810" s="2" t="str">
        <f>"807"</f>
        <v>807</v>
      </c>
      <c r="B810" s="2" t="s">
        <v>9</v>
      </c>
      <c r="C810" s="2" t="str">
        <f>"1 (1)"</f>
        <v>1 (1)</v>
      </c>
      <c r="D810" s="2" t="s">
        <v>2599</v>
      </c>
      <c r="E810" s="5" t="s">
        <v>2600</v>
      </c>
      <c r="F810" s="3" t="s">
        <v>2601</v>
      </c>
      <c r="G810" s="3" t="s">
        <v>2602</v>
      </c>
      <c r="H810" s="2" t="str">
        <f>"2012"</f>
        <v>2012</v>
      </c>
      <c r="I810" t="s">
        <v>14</v>
      </c>
      <c r="J810" t="s">
        <v>15</v>
      </c>
    </row>
    <row r="811" spans="1:10">
      <c r="A811" s="2" t="str">
        <f>"808"</f>
        <v>808</v>
      </c>
      <c r="B811" s="2" t="s">
        <v>9</v>
      </c>
      <c r="C811" s="2" t="str">
        <f>"1 (1)"</f>
        <v>1 (1)</v>
      </c>
      <c r="D811" s="2" t="s">
        <v>2603</v>
      </c>
      <c r="E811" s="5" t="s">
        <v>2604</v>
      </c>
      <c r="F811" s="3" t="s">
        <v>2605</v>
      </c>
      <c r="G811" s="3" t="s">
        <v>2606</v>
      </c>
      <c r="H811" s="2" t="str">
        <f>"2012"</f>
        <v>2012</v>
      </c>
      <c r="I811" t="s">
        <v>14</v>
      </c>
      <c r="J811" t="s">
        <v>15</v>
      </c>
    </row>
    <row r="812" spans="1:10">
      <c r="A812" s="2" t="str">
        <f>"809"</f>
        <v>809</v>
      </c>
      <c r="B812" s="2" t="s">
        <v>9</v>
      </c>
      <c r="C812" s="2" t="str">
        <f>"1 (1)"</f>
        <v>1 (1)</v>
      </c>
      <c r="D812" s="2" t="s">
        <v>2607</v>
      </c>
      <c r="E812" s="5" t="s">
        <v>2608</v>
      </c>
      <c r="F812" s="3" t="s">
        <v>2609</v>
      </c>
      <c r="G812" s="3" t="s">
        <v>2610</v>
      </c>
      <c r="H812" s="2" t="str">
        <f>"2012"</f>
        <v>2012</v>
      </c>
      <c r="I812" t="s">
        <v>14</v>
      </c>
      <c r="J812" t="s">
        <v>15</v>
      </c>
    </row>
    <row r="813" spans="1:10">
      <c r="A813" s="2" t="str">
        <f>"810"</f>
        <v>810</v>
      </c>
      <c r="B813" s="2" t="s">
        <v>9</v>
      </c>
      <c r="C813" s="2" t="str">
        <f>"1 (1)"</f>
        <v>1 (1)</v>
      </c>
      <c r="D813" s="2" t="s">
        <v>2611</v>
      </c>
      <c r="E813" s="5" t="s">
        <v>2612</v>
      </c>
      <c r="F813" s="3" t="s">
        <v>2613</v>
      </c>
      <c r="G813" s="3" t="s">
        <v>2614</v>
      </c>
      <c r="H813" s="2" t="str">
        <f>"2012"</f>
        <v>2012</v>
      </c>
      <c r="I813" t="s">
        <v>14</v>
      </c>
      <c r="J813" t="s">
        <v>15</v>
      </c>
    </row>
    <row r="814" spans="1:10">
      <c r="A814" s="2" t="str">
        <f>"811"</f>
        <v>811</v>
      </c>
      <c r="B814" s="2" t="s">
        <v>9</v>
      </c>
      <c r="C814" s="2" t="str">
        <f>"1 (1)"</f>
        <v>1 (1)</v>
      </c>
      <c r="D814" s="2" t="s">
        <v>2615</v>
      </c>
      <c r="E814" s="5" t="s">
        <v>2616</v>
      </c>
      <c r="F814" s="3" t="s">
        <v>2617</v>
      </c>
      <c r="G814" s="3" t="s">
        <v>2618</v>
      </c>
      <c r="H814" s="2" t="str">
        <f>"2012"</f>
        <v>2012</v>
      </c>
      <c r="I814" t="s">
        <v>14</v>
      </c>
      <c r="J814" t="s">
        <v>15</v>
      </c>
    </row>
    <row r="815" spans="1:10">
      <c r="A815" s="2" t="str">
        <f>"812"</f>
        <v>812</v>
      </c>
      <c r="B815" s="2" t="s">
        <v>9</v>
      </c>
      <c r="C815" s="2" t="str">
        <f>"1 (1)"</f>
        <v>1 (1)</v>
      </c>
      <c r="D815" s="2" t="s">
        <v>2619</v>
      </c>
      <c r="E815" s="5" t="s">
        <v>2620</v>
      </c>
      <c r="F815" s="3" t="s">
        <v>2621</v>
      </c>
      <c r="G815" s="3" t="s">
        <v>2622</v>
      </c>
      <c r="H815" s="2" t="str">
        <f>"2012"</f>
        <v>2012</v>
      </c>
      <c r="I815" t="s">
        <v>14</v>
      </c>
      <c r="J815" t="s">
        <v>15</v>
      </c>
    </row>
    <row r="816" spans="1:10">
      <c r="A816" s="2" t="str">
        <f>"813"</f>
        <v>813</v>
      </c>
      <c r="B816" s="2" t="s">
        <v>9</v>
      </c>
      <c r="C816" s="2" t="str">
        <f>"1 (1)"</f>
        <v>1 (1)</v>
      </c>
      <c r="D816" s="2" t="s">
        <v>2623</v>
      </c>
      <c r="E816" s="5" t="s">
        <v>2624</v>
      </c>
      <c r="F816" s="3" t="s">
        <v>2625</v>
      </c>
      <c r="G816" s="3" t="s">
        <v>1410</v>
      </c>
      <c r="H816" s="2" t="str">
        <f>"2012"</f>
        <v>2012</v>
      </c>
      <c r="I816" t="s">
        <v>14</v>
      </c>
      <c r="J816" t="s">
        <v>15</v>
      </c>
    </row>
    <row r="817" spans="1:10">
      <c r="A817" s="2" t="str">
        <f>"814"</f>
        <v>814</v>
      </c>
      <c r="B817" s="2" t="s">
        <v>9</v>
      </c>
      <c r="C817" s="2" t="str">
        <f>"1 (1)"</f>
        <v>1 (1)</v>
      </c>
      <c r="D817" s="2" t="s">
        <v>2626</v>
      </c>
      <c r="E817" s="5" t="s">
        <v>2627</v>
      </c>
      <c r="F817" s="3" t="s">
        <v>2628</v>
      </c>
      <c r="G817" s="3" t="s">
        <v>2629</v>
      </c>
      <c r="H817" s="2" t="str">
        <f>"2012"</f>
        <v>2012</v>
      </c>
      <c r="I817" t="s">
        <v>14</v>
      </c>
      <c r="J817" t="s">
        <v>15</v>
      </c>
    </row>
    <row r="818" spans="1:10">
      <c r="A818" s="2" t="str">
        <f>"815"</f>
        <v>815</v>
      </c>
      <c r="B818" s="2" t="s">
        <v>9</v>
      </c>
      <c r="C818" s="2" t="str">
        <f>"1 (1)"</f>
        <v>1 (1)</v>
      </c>
      <c r="D818" s="2" t="s">
        <v>2630</v>
      </c>
      <c r="E818" s="5" t="s">
        <v>2631</v>
      </c>
      <c r="F818" s="3" t="s">
        <v>2632</v>
      </c>
      <c r="G818" s="3" t="s">
        <v>2633</v>
      </c>
      <c r="H818" s="2" t="str">
        <f>"2012"</f>
        <v>2012</v>
      </c>
      <c r="I818" t="s">
        <v>14</v>
      </c>
      <c r="J818" t="s">
        <v>15</v>
      </c>
    </row>
    <row r="819" spans="1:10">
      <c r="A819" s="2" t="str">
        <f>"816"</f>
        <v>816</v>
      </c>
      <c r="B819" s="2" t="s">
        <v>9</v>
      </c>
      <c r="C819" s="2" t="str">
        <f>"1 (1)"</f>
        <v>1 (1)</v>
      </c>
      <c r="D819" s="2" t="s">
        <v>2634</v>
      </c>
      <c r="E819" s="5" t="s">
        <v>2631</v>
      </c>
      <c r="F819" s="3" t="s">
        <v>2632</v>
      </c>
      <c r="G819" s="3" t="s">
        <v>2633</v>
      </c>
      <c r="H819" s="2" t="str">
        <f>"2012"</f>
        <v>2012</v>
      </c>
      <c r="I819" t="s">
        <v>14</v>
      </c>
      <c r="J819" t="s">
        <v>15</v>
      </c>
    </row>
    <row r="820" spans="1:10">
      <c r="A820" s="2" t="str">
        <f>"817"</f>
        <v>817</v>
      </c>
      <c r="B820" s="2" t="s">
        <v>9</v>
      </c>
      <c r="C820" s="2" t="str">
        <f>"1 (1)"</f>
        <v>1 (1)</v>
      </c>
      <c r="D820" s="2" t="s">
        <v>2635</v>
      </c>
      <c r="E820" s="5" t="s">
        <v>2636</v>
      </c>
      <c r="F820" s="3" t="s">
        <v>2637</v>
      </c>
      <c r="G820" s="3" t="s">
        <v>2638</v>
      </c>
      <c r="H820" s="2" t="str">
        <f>"2012"</f>
        <v>2012</v>
      </c>
      <c r="I820" t="s">
        <v>14</v>
      </c>
      <c r="J820" t="s">
        <v>15</v>
      </c>
    </row>
    <row r="821" spans="1:10">
      <c r="A821" s="2" t="str">
        <f>"818"</f>
        <v>818</v>
      </c>
      <c r="B821" s="2" t="s">
        <v>9</v>
      </c>
      <c r="C821" s="2" t="str">
        <f>"1 (1)"</f>
        <v>1 (1)</v>
      </c>
      <c r="D821" s="2" t="s">
        <v>2639</v>
      </c>
      <c r="E821" s="5" t="s">
        <v>2640</v>
      </c>
      <c r="F821" s="3" t="s">
        <v>2641</v>
      </c>
      <c r="G821" s="3" t="s">
        <v>2642</v>
      </c>
      <c r="H821" s="2" t="str">
        <f>"2012"</f>
        <v>2012</v>
      </c>
      <c r="I821" t="s">
        <v>14</v>
      </c>
      <c r="J821" t="s">
        <v>15</v>
      </c>
    </row>
    <row r="822" spans="1:10">
      <c r="A822" s="2" t="str">
        <f>"819"</f>
        <v>819</v>
      </c>
      <c r="B822" s="2" t="s">
        <v>9</v>
      </c>
      <c r="C822" s="2" t="str">
        <f>"1 (1)"</f>
        <v>1 (1)</v>
      </c>
      <c r="D822" s="2" t="s">
        <v>2643</v>
      </c>
      <c r="E822" s="5" t="s">
        <v>2644</v>
      </c>
      <c r="F822" s="3" t="s">
        <v>2645</v>
      </c>
      <c r="G822" s="3" t="s">
        <v>2646</v>
      </c>
      <c r="H822" s="2" t="str">
        <f>"2012"</f>
        <v>2012</v>
      </c>
      <c r="I822" t="s">
        <v>14</v>
      </c>
      <c r="J822" t="s">
        <v>15</v>
      </c>
    </row>
    <row r="823" spans="1:10">
      <c r="A823" s="2" t="str">
        <f>"820"</f>
        <v>820</v>
      </c>
      <c r="B823" s="2" t="s">
        <v>9</v>
      </c>
      <c r="C823" s="2" t="str">
        <f>"1 (1)"</f>
        <v>1 (1)</v>
      </c>
      <c r="D823" s="2" t="s">
        <v>2647</v>
      </c>
      <c r="E823" s="5" t="s">
        <v>2648</v>
      </c>
      <c r="F823" s="3" t="s">
        <v>2649</v>
      </c>
      <c r="G823" s="3" t="s">
        <v>2650</v>
      </c>
      <c r="H823" s="2" t="str">
        <f>"2009"</f>
        <v>2009</v>
      </c>
      <c r="I823" t="s">
        <v>14</v>
      </c>
      <c r="J823" t="s">
        <v>15</v>
      </c>
    </row>
    <row r="824" spans="1:10">
      <c r="A824" s="2" t="str">
        <f>"821"</f>
        <v>821</v>
      </c>
      <c r="B824" s="2" t="s">
        <v>9</v>
      </c>
      <c r="C824" s="2" t="str">
        <f>"1 (1)"</f>
        <v>1 (1)</v>
      </c>
      <c r="D824" s="2" t="s">
        <v>2651</v>
      </c>
      <c r="E824" s="5" t="s">
        <v>2652</v>
      </c>
      <c r="F824" s="3" t="s">
        <v>2653</v>
      </c>
      <c r="G824" s="3" t="s">
        <v>2654</v>
      </c>
      <c r="H824" s="2" t="str">
        <f>"2012"</f>
        <v>2012</v>
      </c>
      <c r="I824" t="s">
        <v>14</v>
      </c>
      <c r="J824" t="s">
        <v>15</v>
      </c>
    </row>
    <row r="825" spans="1:10">
      <c r="A825" s="2" t="str">
        <f>"822"</f>
        <v>822</v>
      </c>
      <c r="B825" s="2" t="s">
        <v>9</v>
      </c>
      <c r="C825" s="2" t="str">
        <f>"1 (1)"</f>
        <v>1 (1)</v>
      </c>
      <c r="D825" s="2" t="s">
        <v>2655</v>
      </c>
      <c r="E825" s="5" t="s">
        <v>2656</v>
      </c>
      <c r="F825" s="3" t="s">
        <v>2657</v>
      </c>
      <c r="G825" s="3" t="s">
        <v>2658</v>
      </c>
      <c r="H825" s="2" t="str">
        <f>"2012"</f>
        <v>2012</v>
      </c>
      <c r="I825" t="s">
        <v>14</v>
      </c>
      <c r="J825" t="s">
        <v>15</v>
      </c>
    </row>
    <row r="826" spans="1:10">
      <c r="A826" s="2" t="str">
        <f>"823"</f>
        <v>823</v>
      </c>
      <c r="B826" s="2" t="s">
        <v>9</v>
      </c>
      <c r="C826" s="2" t="str">
        <f>"1 (1)"</f>
        <v>1 (1)</v>
      </c>
      <c r="D826" s="2" t="s">
        <v>2659</v>
      </c>
      <c r="E826" s="5" t="s">
        <v>2660</v>
      </c>
      <c r="F826" s="3" t="s">
        <v>2661</v>
      </c>
      <c r="G826" s="3" t="s">
        <v>2662</v>
      </c>
      <c r="H826" s="2" t="str">
        <f>"2012"</f>
        <v>2012</v>
      </c>
      <c r="I826" t="s">
        <v>14</v>
      </c>
      <c r="J826" t="s">
        <v>15</v>
      </c>
    </row>
    <row r="827" spans="1:10">
      <c r="A827" s="2" t="str">
        <f>"824"</f>
        <v>824</v>
      </c>
      <c r="B827" s="2" t="s">
        <v>9</v>
      </c>
      <c r="C827" s="2" t="str">
        <f>"1 (1)"</f>
        <v>1 (1)</v>
      </c>
      <c r="D827" s="2" t="s">
        <v>2663</v>
      </c>
      <c r="E827" s="5" t="s">
        <v>2664</v>
      </c>
      <c r="F827" s="3" t="s">
        <v>2665</v>
      </c>
      <c r="G827" s="3" t="s">
        <v>2666</v>
      </c>
      <c r="H827" s="2" t="str">
        <f>"2012"</f>
        <v>2012</v>
      </c>
      <c r="I827" t="s">
        <v>14</v>
      </c>
      <c r="J827" t="s">
        <v>15</v>
      </c>
    </row>
    <row r="828" spans="1:10">
      <c r="A828" s="2" t="str">
        <f>"825"</f>
        <v>825</v>
      </c>
      <c r="B828" s="2" t="s">
        <v>9</v>
      </c>
      <c r="C828" s="2" t="str">
        <f>"1 (1)"</f>
        <v>1 (1)</v>
      </c>
      <c r="D828" s="2" t="s">
        <v>2667</v>
      </c>
      <c r="E828" s="5" t="s">
        <v>2668</v>
      </c>
      <c r="F828" s="3" t="s">
        <v>2669</v>
      </c>
      <c r="G828" s="3" t="s">
        <v>2670</v>
      </c>
      <c r="H828" s="2" t="str">
        <f>"2000"</f>
        <v>2000</v>
      </c>
      <c r="I828" t="s">
        <v>14</v>
      </c>
      <c r="J828" t="s">
        <v>15</v>
      </c>
    </row>
    <row r="829" spans="1:10">
      <c r="A829" s="2" t="str">
        <f>"826"</f>
        <v>826</v>
      </c>
      <c r="B829" s="2" t="s">
        <v>9</v>
      </c>
      <c r="C829" s="2" t="str">
        <f>"1 (1)"</f>
        <v>1 (1)</v>
      </c>
      <c r="D829" s="2" t="s">
        <v>2671</v>
      </c>
      <c r="E829" s="5" t="s">
        <v>2672</v>
      </c>
      <c r="F829" s="3" t="s">
        <v>2669</v>
      </c>
      <c r="G829" s="3" t="s">
        <v>2673</v>
      </c>
      <c r="H829" s="2" t="str">
        <f>"2010"</f>
        <v>2010</v>
      </c>
      <c r="I829" t="s">
        <v>14</v>
      </c>
      <c r="J829" t="s">
        <v>15</v>
      </c>
    </row>
    <row r="830" spans="1:10">
      <c r="A830" s="2" t="str">
        <f>"827"</f>
        <v>827</v>
      </c>
      <c r="B830" s="2" t="s">
        <v>9</v>
      </c>
      <c r="C830" s="2" t="str">
        <f>"1 (1)"</f>
        <v>1 (1)</v>
      </c>
      <c r="D830" s="2" t="s">
        <v>2674</v>
      </c>
      <c r="E830" s="5" t="s">
        <v>2675</v>
      </c>
      <c r="F830" s="3" t="s">
        <v>2676</v>
      </c>
      <c r="G830" s="3" t="s">
        <v>2677</v>
      </c>
      <c r="H830" s="2" t="str">
        <f>"2012"</f>
        <v>2012</v>
      </c>
      <c r="I830" t="s">
        <v>14</v>
      </c>
      <c r="J830" t="s">
        <v>15</v>
      </c>
    </row>
    <row r="831" spans="1:10">
      <c r="A831" s="2" t="str">
        <f>"828"</f>
        <v>828</v>
      </c>
      <c r="B831" s="2" t="s">
        <v>9</v>
      </c>
      <c r="C831" s="2" t="str">
        <f>"1 (1)"</f>
        <v>1 (1)</v>
      </c>
      <c r="D831" s="2" t="s">
        <v>2678</v>
      </c>
      <c r="E831" s="5" t="s">
        <v>2679</v>
      </c>
      <c r="F831" s="3" t="s">
        <v>2680</v>
      </c>
      <c r="G831" s="3" t="s">
        <v>2681</v>
      </c>
      <c r="H831" s="2" t="str">
        <f>"2012"</f>
        <v>2012</v>
      </c>
      <c r="I831" t="s">
        <v>14</v>
      </c>
      <c r="J831" t="s">
        <v>15</v>
      </c>
    </row>
    <row r="832" spans="1:10">
      <c r="A832" s="2" t="str">
        <f>"829"</f>
        <v>829</v>
      </c>
      <c r="B832" s="2" t="s">
        <v>9</v>
      </c>
      <c r="C832" s="2" t="str">
        <f>"1 (1)"</f>
        <v>1 (1)</v>
      </c>
      <c r="D832" s="2" t="s">
        <v>2682</v>
      </c>
      <c r="E832" s="5" t="s">
        <v>2683</v>
      </c>
      <c r="F832" s="3" t="s">
        <v>2684</v>
      </c>
      <c r="G832" s="3" t="s">
        <v>2685</v>
      </c>
      <c r="H832" s="2" t="str">
        <f>"2012"</f>
        <v>2012</v>
      </c>
      <c r="I832" t="s">
        <v>14</v>
      </c>
      <c r="J832" t="s">
        <v>15</v>
      </c>
    </row>
    <row r="833" spans="1:10">
      <c r="A833" s="2" t="str">
        <f>"830"</f>
        <v>830</v>
      </c>
      <c r="B833" s="2" t="s">
        <v>9</v>
      </c>
      <c r="C833" s="2" t="str">
        <f>"1 (1)"</f>
        <v>1 (1)</v>
      </c>
      <c r="D833" s="2" t="s">
        <v>2686</v>
      </c>
      <c r="E833" s="5" t="s">
        <v>2687</v>
      </c>
      <c r="F833" s="3" t="s">
        <v>2688</v>
      </c>
      <c r="G833" s="3" t="s">
        <v>2689</v>
      </c>
      <c r="H833" s="2" t="str">
        <f>"2012"</f>
        <v>2012</v>
      </c>
      <c r="I833" t="s">
        <v>14</v>
      </c>
      <c r="J833" t="s">
        <v>15</v>
      </c>
    </row>
    <row r="834" spans="1:10">
      <c r="A834" s="2" t="str">
        <f>"831"</f>
        <v>831</v>
      </c>
      <c r="B834" s="2" t="s">
        <v>9</v>
      </c>
      <c r="C834" s="2" t="str">
        <f>"1 (1)"</f>
        <v>1 (1)</v>
      </c>
      <c r="D834" s="2" t="s">
        <v>2690</v>
      </c>
      <c r="E834" s="5" t="s">
        <v>2691</v>
      </c>
      <c r="F834" s="3" t="s">
        <v>2692</v>
      </c>
      <c r="G834" s="3" t="s">
        <v>2693</v>
      </c>
      <c r="H834" s="2" t="str">
        <f>"2012"</f>
        <v>2012</v>
      </c>
      <c r="I834" t="s">
        <v>14</v>
      </c>
      <c r="J834" t="s">
        <v>15</v>
      </c>
    </row>
    <row r="835" spans="1:10">
      <c r="A835" s="2" t="str">
        <f>"832"</f>
        <v>832</v>
      </c>
      <c r="B835" s="2" t="s">
        <v>9</v>
      </c>
      <c r="C835" s="2" t="str">
        <f>"1 (1)"</f>
        <v>1 (1)</v>
      </c>
      <c r="D835" s="2" t="s">
        <v>2694</v>
      </c>
      <c r="E835" s="5" t="s">
        <v>2695</v>
      </c>
      <c r="F835" s="3" t="s">
        <v>2696</v>
      </c>
      <c r="G835" s="3" t="s">
        <v>2697</v>
      </c>
      <c r="H835" s="2" t="str">
        <f>"2012"</f>
        <v>2012</v>
      </c>
      <c r="I835" t="s">
        <v>14</v>
      </c>
      <c r="J835" t="s">
        <v>15</v>
      </c>
    </row>
    <row r="836" spans="1:10">
      <c r="A836" s="2" t="str">
        <f>"833"</f>
        <v>833</v>
      </c>
      <c r="B836" s="2" t="s">
        <v>9</v>
      </c>
      <c r="C836" s="2" t="str">
        <f>"1 (1)"</f>
        <v>1 (1)</v>
      </c>
      <c r="D836" s="2" t="s">
        <v>2698</v>
      </c>
      <c r="E836" s="5" t="s">
        <v>2699</v>
      </c>
      <c r="F836" s="3" t="s">
        <v>2700</v>
      </c>
      <c r="G836" s="3" t="s">
        <v>2701</v>
      </c>
      <c r="H836" s="2" t="str">
        <f>"2012"</f>
        <v>2012</v>
      </c>
      <c r="I836" t="s">
        <v>14</v>
      </c>
      <c r="J836" t="s">
        <v>15</v>
      </c>
    </row>
    <row r="837" spans="1:10">
      <c r="A837" s="2" t="str">
        <f>"834"</f>
        <v>834</v>
      </c>
      <c r="B837" s="2" t="s">
        <v>9</v>
      </c>
      <c r="C837" s="2" t="str">
        <f>"1 (1)"</f>
        <v>1 (1)</v>
      </c>
      <c r="D837" s="2" t="s">
        <v>2702</v>
      </c>
      <c r="E837" s="5" t="s">
        <v>2703</v>
      </c>
      <c r="F837" s="3" t="s">
        <v>2704</v>
      </c>
      <c r="G837" s="3" t="s">
        <v>2670</v>
      </c>
      <c r="H837" s="2" t="str">
        <f>"2010"</f>
        <v>2010</v>
      </c>
      <c r="I837" t="s">
        <v>14</v>
      </c>
      <c r="J837" t="s">
        <v>15</v>
      </c>
    </row>
    <row r="838" spans="1:10">
      <c r="A838" s="2" t="str">
        <f>"835"</f>
        <v>835</v>
      </c>
      <c r="B838" s="2" t="s">
        <v>9</v>
      </c>
      <c r="C838" s="2" t="str">
        <f>"1 (1)"</f>
        <v>1 (1)</v>
      </c>
      <c r="D838" s="2" t="s">
        <v>2705</v>
      </c>
      <c r="E838" s="5" t="s">
        <v>2706</v>
      </c>
      <c r="F838" s="3" t="s">
        <v>2707</v>
      </c>
      <c r="G838" s="3" t="s">
        <v>2708</v>
      </c>
      <c r="H838" s="2" t="str">
        <f>"2012"</f>
        <v>2012</v>
      </c>
      <c r="I838" t="s">
        <v>14</v>
      </c>
      <c r="J838" t="s">
        <v>15</v>
      </c>
    </row>
    <row r="839" spans="1:10">
      <c r="A839" s="2" t="str">
        <f>"836"</f>
        <v>836</v>
      </c>
      <c r="B839" s="2" t="s">
        <v>9</v>
      </c>
      <c r="C839" s="2" t="str">
        <f>"1 (1)"</f>
        <v>1 (1)</v>
      </c>
      <c r="D839" s="2" t="s">
        <v>2709</v>
      </c>
      <c r="E839" s="5" t="s">
        <v>2710</v>
      </c>
      <c r="F839" s="3" t="s">
        <v>2711</v>
      </c>
      <c r="G839" s="3" t="s">
        <v>2712</v>
      </c>
      <c r="H839" s="2" t="str">
        <f>"2012"</f>
        <v>2012</v>
      </c>
      <c r="I839" t="s">
        <v>14</v>
      </c>
      <c r="J839" t="s">
        <v>15</v>
      </c>
    </row>
    <row r="840" spans="1:10">
      <c r="A840" s="2" t="str">
        <f>"837"</f>
        <v>837</v>
      </c>
      <c r="B840" s="2" t="s">
        <v>9</v>
      </c>
      <c r="C840" s="2" t="str">
        <f>"1 (1)"</f>
        <v>1 (1)</v>
      </c>
      <c r="D840" s="2" t="s">
        <v>2713</v>
      </c>
      <c r="E840" s="5" t="s">
        <v>2714</v>
      </c>
      <c r="F840" s="3" t="s">
        <v>2715</v>
      </c>
      <c r="G840" s="3" t="s">
        <v>2716</v>
      </c>
      <c r="H840" s="2" t="str">
        <f>"2012"</f>
        <v>2012</v>
      </c>
      <c r="I840" t="s">
        <v>14</v>
      </c>
      <c r="J840" t="s">
        <v>15</v>
      </c>
    </row>
    <row r="841" spans="1:10">
      <c r="A841" s="2" t="str">
        <f>"838"</f>
        <v>838</v>
      </c>
      <c r="B841" s="2" t="s">
        <v>9</v>
      </c>
      <c r="C841" s="2" t="str">
        <f>"1 (1)"</f>
        <v>1 (1)</v>
      </c>
      <c r="D841" s="2" t="s">
        <v>2717</v>
      </c>
      <c r="E841" s="5" t="s">
        <v>2718</v>
      </c>
      <c r="F841" s="3" t="s">
        <v>2719</v>
      </c>
      <c r="G841" s="3" t="s">
        <v>2720</v>
      </c>
      <c r="H841" s="2" t="str">
        <f>"2012"</f>
        <v>2012</v>
      </c>
      <c r="I841" t="s">
        <v>14</v>
      </c>
      <c r="J841" t="s">
        <v>15</v>
      </c>
    </row>
    <row r="842" spans="1:10">
      <c r="A842" s="2" t="str">
        <f>"839"</f>
        <v>839</v>
      </c>
      <c r="B842" s="2" t="s">
        <v>9</v>
      </c>
      <c r="C842" s="2" t="str">
        <f>"1 (1)"</f>
        <v>1 (1)</v>
      </c>
      <c r="D842" s="2" t="s">
        <v>2721</v>
      </c>
      <c r="E842" s="5" t="s">
        <v>2722</v>
      </c>
      <c r="F842" s="3" t="s">
        <v>2723</v>
      </c>
      <c r="G842" s="3" t="s">
        <v>2724</v>
      </c>
      <c r="H842" s="2" t="str">
        <f>"2012"</f>
        <v>2012</v>
      </c>
      <c r="I842" t="s">
        <v>14</v>
      </c>
      <c r="J842" t="s">
        <v>15</v>
      </c>
    </row>
    <row r="843" spans="1:10">
      <c r="A843" s="2" t="str">
        <f>"840"</f>
        <v>840</v>
      </c>
      <c r="B843" s="2" t="s">
        <v>9</v>
      </c>
      <c r="C843" s="2" t="str">
        <f>"1 (1)"</f>
        <v>1 (1)</v>
      </c>
      <c r="D843" s="2" t="s">
        <v>2725</v>
      </c>
      <c r="E843" s="5" t="s">
        <v>2726</v>
      </c>
      <c r="F843" s="3" t="s">
        <v>2727</v>
      </c>
      <c r="G843" s="3" t="s">
        <v>2728</v>
      </c>
      <c r="H843" s="2" t="str">
        <f>"2012"</f>
        <v>2012</v>
      </c>
      <c r="I843" t="s">
        <v>14</v>
      </c>
      <c r="J843" t="s">
        <v>15</v>
      </c>
    </row>
    <row r="844" spans="1:10">
      <c r="A844" s="2" t="str">
        <f>"841"</f>
        <v>841</v>
      </c>
      <c r="B844" s="2" t="s">
        <v>9</v>
      </c>
      <c r="C844" s="2" t="str">
        <f>"1 (1)"</f>
        <v>1 (1)</v>
      </c>
      <c r="D844" s="2" t="s">
        <v>2729</v>
      </c>
      <c r="E844" s="5" t="s">
        <v>2730</v>
      </c>
      <c r="F844" s="3" t="s">
        <v>2731</v>
      </c>
      <c r="G844" s="3" t="s">
        <v>2662</v>
      </c>
      <c r="H844" s="2" t="str">
        <f>"2012"</f>
        <v>2012</v>
      </c>
      <c r="I844" t="s">
        <v>14</v>
      </c>
      <c r="J844" t="s">
        <v>15</v>
      </c>
    </row>
    <row r="845" spans="1:10">
      <c r="A845" s="2" t="str">
        <f>"842"</f>
        <v>842</v>
      </c>
      <c r="B845" s="2" t="s">
        <v>9</v>
      </c>
      <c r="C845" s="2" t="str">
        <f>"1 (1)"</f>
        <v>1 (1)</v>
      </c>
      <c r="D845" s="2" t="s">
        <v>2732</v>
      </c>
      <c r="E845" s="5" t="s">
        <v>2733</v>
      </c>
      <c r="F845" s="3" t="s">
        <v>2734</v>
      </c>
      <c r="G845" s="3" t="s">
        <v>2735</v>
      </c>
      <c r="H845" s="2" t="str">
        <f>"2012"</f>
        <v>2012</v>
      </c>
      <c r="I845" t="s">
        <v>14</v>
      </c>
      <c r="J845" t="s">
        <v>15</v>
      </c>
    </row>
    <row r="846" spans="1:10">
      <c r="A846" s="2" t="str">
        <f>"843"</f>
        <v>843</v>
      </c>
      <c r="B846" s="2" t="s">
        <v>9</v>
      </c>
      <c r="C846" s="2" t="str">
        <f>"1 (1)"</f>
        <v>1 (1)</v>
      </c>
      <c r="D846" s="2" t="s">
        <v>2736</v>
      </c>
      <c r="E846" s="5" t="s">
        <v>2737</v>
      </c>
      <c r="F846" s="3" t="s">
        <v>2738</v>
      </c>
      <c r="G846" s="3" t="s">
        <v>2110</v>
      </c>
      <c r="H846" s="2" t="str">
        <f>"2012"</f>
        <v>2012</v>
      </c>
      <c r="I846" t="s">
        <v>14</v>
      </c>
      <c r="J846" t="s">
        <v>15</v>
      </c>
    </row>
    <row r="847" spans="1:10">
      <c r="A847" s="2" t="str">
        <f>"844"</f>
        <v>844</v>
      </c>
      <c r="B847" s="2" t="s">
        <v>9</v>
      </c>
      <c r="C847" s="2" t="str">
        <f>"1 (1)"</f>
        <v>1 (1)</v>
      </c>
      <c r="D847" s="2" t="s">
        <v>2739</v>
      </c>
      <c r="E847" s="5" t="s">
        <v>2740</v>
      </c>
      <c r="F847" s="3" t="s">
        <v>2741</v>
      </c>
      <c r="G847" s="3" t="s">
        <v>2742</v>
      </c>
      <c r="H847" s="2" t="str">
        <f>"2012"</f>
        <v>2012</v>
      </c>
      <c r="I847" t="s">
        <v>14</v>
      </c>
      <c r="J847" t="s">
        <v>15</v>
      </c>
    </row>
    <row r="848" spans="1:10">
      <c r="A848" s="2" t="str">
        <f>"845"</f>
        <v>845</v>
      </c>
      <c r="B848" s="2" t="s">
        <v>9</v>
      </c>
      <c r="C848" s="2" t="str">
        <f>"1 (1)"</f>
        <v>1 (1)</v>
      </c>
      <c r="D848" s="2" t="s">
        <v>2743</v>
      </c>
      <c r="E848" s="5" t="s">
        <v>2744</v>
      </c>
      <c r="F848" s="3" t="s">
        <v>2745</v>
      </c>
      <c r="G848" s="3" t="s">
        <v>2746</v>
      </c>
      <c r="H848" s="2" t="str">
        <f>"19 cm"</f>
        <v>19 cm</v>
      </c>
      <c r="I848" t="s">
        <v>14</v>
      </c>
      <c r="J848" t="s">
        <v>15</v>
      </c>
    </row>
    <row r="849" spans="1:10">
      <c r="A849" s="2" t="str">
        <f>"846"</f>
        <v>846</v>
      </c>
      <c r="B849" s="2" t="s">
        <v>9</v>
      </c>
      <c r="C849" s="2" t="str">
        <f>"1 (1)"</f>
        <v>1 (1)</v>
      </c>
      <c r="D849" s="2" t="s">
        <v>2747</v>
      </c>
      <c r="E849" s="5" t="s">
        <v>2748</v>
      </c>
      <c r="F849" s="3" t="s">
        <v>2749</v>
      </c>
      <c r="G849" s="3" t="s">
        <v>373</v>
      </c>
      <c r="H849" s="2" t="str">
        <f>"2012"</f>
        <v>2012</v>
      </c>
      <c r="I849" t="s">
        <v>14</v>
      </c>
      <c r="J849" t="s">
        <v>15</v>
      </c>
    </row>
    <row r="850" spans="1:10">
      <c r="A850" s="2" t="str">
        <f>"847"</f>
        <v>847</v>
      </c>
      <c r="B850" s="2" t="s">
        <v>9</v>
      </c>
      <c r="C850" s="2" t="str">
        <f>"1 (1)"</f>
        <v>1 (1)</v>
      </c>
      <c r="D850" s="2" t="s">
        <v>2750</v>
      </c>
      <c r="E850" s="5" t="s">
        <v>2751</v>
      </c>
      <c r="F850" s="3" t="s">
        <v>2752</v>
      </c>
      <c r="G850" s="3" t="s">
        <v>2753</v>
      </c>
      <c r="H850" s="2" t="str">
        <f>"2012"</f>
        <v>2012</v>
      </c>
      <c r="I850" t="s">
        <v>14</v>
      </c>
      <c r="J850" t="s">
        <v>15</v>
      </c>
    </row>
    <row r="851" spans="1:10">
      <c r="A851" s="2" t="str">
        <f>"848"</f>
        <v>848</v>
      </c>
      <c r="B851" s="2" t="s">
        <v>9</v>
      </c>
      <c r="C851" s="2" t="str">
        <f>"1 (1)"</f>
        <v>1 (1)</v>
      </c>
      <c r="D851" s="2" t="s">
        <v>2754</v>
      </c>
      <c r="E851" s="5" t="s">
        <v>2755</v>
      </c>
      <c r="F851" s="3" t="s">
        <v>2756</v>
      </c>
      <c r="G851" s="3" t="s">
        <v>2757</v>
      </c>
      <c r="H851" s="2" t="str">
        <f>"2012"</f>
        <v>2012</v>
      </c>
      <c r="I851" t="s">
        <v>14</v>
      </c>
      <c r="J851" t="s">
        <v>15</v>
      </c>
    </row>
    <row r="852" spans="1:10">
      <c r="A852" s="2" t="str">
        <f>"849"</f>
        <v>849</v>
      </c>
      <c r="B852" s="2" t="s">
        <v>9</v>
      </c>
      <c r="C852" s="2" t="str">
        <f>"1 (1)"</f>
        <v>1 (1)</v>
      </c>
      <c r="D852" s="2" t="s">
        <v>2758</v>
      </c>
      <c r="E852" s="5" t="s">
        <v>2759</v>
      </c>
      <c r="F852" s="3" t="s">
        <v>2760</v>
      </c>
      <c r="G852" s="3" t="s">
        <v>2761</v>
      </c>
      <c r="H852" s="2" t="str">
        <f>"2012"</f>
        <v>2012</v>
      </c>
      <c r="I852" t="s">
        <v>14</v>
      </c>
      <c r="J852" t="s">
        <v>15</v>
      </c>
    </row>
    <row r="853" spans="1:10">
      <c r="A853" s="2" t="str">
        <f>"850"</f>
        <v>850</v>
      </c>
      <c r="B853" s="2" t="s">
        <v>9</v>
      </c>
      <c r="C853" s="2" t="str">
        <f>"1 (1)"</f>
        <v>1 (1)</v>
      </c>
      <c r="D853" s="2" t="s">
        <v>2762</v>
      </c>
      <c r="E853" s="5" t="s">
        <v>2759</v>
      </c>
      <c r="F853" s="3" t="s">
        <v>2760</v>
      </c>
      <c r="G853" s="3" t="s">
        <v>2761</v>
      </c>
      <c r="H853" s="2" t="str">
        <f>"2012"</f>
        <v>2012</v>
      </c>
      <c r="I853" t="s">
        <v>14</v>
      </c>
      <c r="J853" t="s">
        <v>15</v>
      </c>
    </row>
    <row r="854" spans="1:10">
      <c r="A854" s="2" t="str">
        <f>"851"</f>
        <v>851</v>
      </c>
      <c r="B854" s="2" t="s">
        <v>9</v>
      </c>
      <c r="C854" s="2" t="str">
        <f>"1 (1)"</f>
        <v>1 (1)</v>
      </c>
      <c r="D854" s="2" t="s">
        <v>2763</v>
      </c>
      <c r="E854" s="5" t="s">
        <v>2764</v>
      </c>
      <c r="F854" s="3" t="s">
        <v>2765</v>
      </c>
      <c r="G854" s="3" t="s">
        <v>2766</v>
      </c>
      <c r="H854" s="2" t="str">
        <f>"2012"</f>
        <v>2012</v>
      </c>
      <c r="I854" t="s">
        <v>14</v>
      </c>
      <c r="J854" t="s">
        <v>15</v>
      </c>
    </row>
    <row r="855" spans="1:10">
      <c r="A855" s="2" t="str">
        <f>"852"</f>
        <v>852</v>
      </c>
      <c r="B855" s="2" t="s">
        <v>9</v>
      </c>
      <c r="C855" s="2" t="str">
        <f>"1 (1)"</f>
        <v>1 (1)</v>
      </c>
      <c r="D855" s="2" t="s">
        <v>2767</v>
      </c>
      <c r="E855" s="5" t="s">
        <v>2768</v>
      </c>
      <c r="F855" s="3" t="s">
        <v>2769</v>
      </c>
      <c r="G855" s="3" t="str">
        <f>"21세기북스"</f>
        <v>21세기북스</v>
      </c>
      <c r="H855" s="2" t="str">
        <f>"2012"</f>
        <v>2012</v>
      </c>
      <c r="I855" t="s">
        <v>14</v>
      </c>
      <c r="J855" t="s">
        <v>15</v>
      </c>
    </row>
    <row r="856" spans="1:10">
      <c r="A856" s="2" t="str">
        <f>"853"</f>
        <v>853</v>
      </c>
      <c r="B856" s="2" t="s">
        <v>9</v>
      </c>
      <c r="C856" s="2" t="str">
        <f>"1 (1)"</f>
        <v>1 (1)</v>
      </c>
      <c r="D856" s="2" t="s">
        <v>2770</v>
      </c>
      <c r="E856" s="5" t="s">
        <v>2771</v>
      </c>
      <c r="F856" s="3" t="s">
        <v>2772</v>
      </c>
      <c r="G856" s="3" t="s">
        <v>2708</v>
      </c>
      <c r="H856" s="2" t="str">
        <f>"2012"</f>
        <v>2012</v>
      </c>
      <c r="I856" t="s">
        <v>14</v>
      </c>
      <c r="J856" t="s">
        <v>15</v>
      </c>
    </row>
    <row r="857" spans="1:10">
      <c r="A857" s="2" t="str">
        <f>"854"</f>
        <v>854</v>
      </c>
      <c r="B857" s="2" t="s">
        <v>9</v>
      </c>
      <c r="C857" s="2" t="str">
        <f>"1 (1)"</f>
        <v>1 (1)</v>
      </c>
      <c r="D857" s="2" t="s">
        <v>2773</v>
      </c>
      <c r="E857" s="5" t="s">
        <v>2774</v>
      </c>
      <c r="F857" s="3" t="s">
        <v>2775</v>
      </c>
      <c r="G857" s="3" t="s">
        <v>2776</v>
      </c>
      <c r="H857" s="2" t="str">
        <f>"2012"</f>
        <v>2012</v>
      </c>
      <c r="I857" t="s">
        <v>14</v>
      </c>
      <c r="J857" t="s">
        <v>15</v>
      </c>
    </row>
    <row r="858" spans="1:10">
      <c r="A858" s="2" t="str">
        <f>"855"</f>
        <v>855</v>
      </c>
      <c r="B858" s="2" t="s">
        <v>9</v>
      </c>
      <c r="C858" s="2" t="str">
        <f>"1 (1)"</f>
        <v>1 (1)</v>
      </c>
      <c r="D858" s="2" t="s">
        <v>2777</v>
      </c>
      <c r="E858" s="5" t="s">
        <v>2778</v>
      </c>
      <c r="F858" s="3" t="s">
        <v>2779</v>
      </c>
      <c r="G858" s="3" t="s">
        <v>2742</v>
      </c>
      <c r="H858" s="2" t="str">
        <f>"2012"</f>
        <v>2012</v>
      </c>
      <c r="I858" t="s">
        <v>14</v>
      </c>
      <c r="J858" t="s">
        <v>15</v>
      </c>
    </row>
    <row r="859" spans="1:10">
      <c r="A859" s="2" t="str">
        <f>"856"</f>
        <v>856</v>
      </c>
      <c r="B859" s="2" t="s">
        <v>9</v>
      </c>
      <c r="C859" s="2" t="str">
        <f>"1 (1)"</f>
        <v>1 (1)</v>
      </c>
      <c r="D859" s="2" t="s">
        <v>2780</v>
      </c>
      <c r="E859" s="5" t="s">
        <v>2781</v>
      </c>
      <c r="F859" s="3" t="s">
        <v>2782</v>
      </c>
      <c r="G859" s="3" t="s">
        <v>2783</v>
      </c>
      <c r="H859" s="2" t="str">
        <f>"2012"</f>
        <v>2012</v>
      </c>
      <c r="I859" t="s">
        <v>14</v>
      </c>
      <c r="J859" t="s">
        <v>15</v>
      </c>
    </row>
    <row r="860" spans="1:10">
      <c r="A860" s="2" t="str">
        <f>"857"</f>
        <v>857</v>
      </c>
      <c r="B860" s="2" t="s">
        <v>9</v>
      </c>
      <c r="C860" s="2" t="str">
        <f>"1 (1)"</f>
        <v>1 (1)</v>
      </c>
      <c r="D860" s="2" t="s">
        <v>2784</v>
      </c>
      <c r="E860" s="5" t="s">
        <v>2785</v>
      </c>
      <c r="F860" s="3" t="s">
        <v>2786</v>
      </c>
      <c r="G860" s="3" t="s">
        <v>2787</v>
      </c>
      <c r="H860" s="2" t="str">
        <f>"2012"</f>
        <v>2012</v>
      </c>
      <c r="I860" t="s">
        <v>14</v>
      </c>
      <c r="J860" t="s">
        <v>15</v>
      </c>
    </row>
    <row r="861" spans="1:10">
      <c r="A861" s="2" t="str">
        <f>"858"</f>
        <v>858</v>
      </c>
      <c r="B861" s="2" t="s">
        <v>9</v>
      </c>
      <c r="C861" s="2" t="str">
        <f>"1 (1)"</f>
        <v>1 (1)</v>
      </c>
      <c r="D861" s="2" t="s">
        <v>2788</v>
      </c>
      <c r="E861" s="5" t="s">
        <v>2789</v>
      </c>
      <c r="F861" s="3" t="s">
        <v>2790</v>
      </c>
      <c r="G861" s="3" t="s">
        <v>2791</v>
      </c>
      <c r="H861" s="2" t="str">
        <f>"2012"</f>
        <v>2012</v>
      </c>
      <c r="I861" t="s">
        <v>14</v>
      </c>
      <c r="J861" t="s">
        <v>15</v>
      </c>
    </row>
    <row r="862" spans="1:10">
      <c r="A862" s="2" t="str">
        <f>"859"</f>
        <v>859</v>
      </c>
      <c r="B862" s="2" t="s">
        <v>9</v>
      </c>
      <c r="C862" s="2" t="str">
        <f>"1 (1)"</f>
        <v>1 (1)</v>
      </c>
      <c r="D862" s="2" t="s">
        <v>2792</v>
      </c>
      <c r="E862" s="5" t="s">
        <v>2793</v>
      </c>
      <c r="F862" s="3" t="s">
        <v>2794</v>
      </c>
      <c r="G862" s="3" t="s">
        <v>2795</v>
      </c>
      <c r="H862" s="2" t="str">
        <f>"2012."</f>
        <v>2012.</v>
      </c>
      <c r="I862" t="s">
        <v>14</v>
      </c>
      <c r="J862" t="s">
        <v>15</v>
      </c>
    </row>
    <row r="863" spans="1:10">
      <c r="A863" s="2" t="str">
        <f>"860"</f>
        <v>860</v>
      </c>
      <c r="B863" s="2" t="s">
        <v>9</v>
      </c>
      <c r="C863" s="2" t="str">
        <f>"1 (1)"</f>
        <v>1 (1)</v>
      </c>
      <c r="D863" s="2" t="s">
        <v>2796</v>
      </c>
      <c r="E863" s="5" t="s">
        <v>2797</v>
      </c>
      <c r="F863" s="3" t="s">
        <v>2798</v>
      </c>
      <c r="G863" s="3" t="s">
        <v>2799</v>
      </c>
      <c r="H863" s="2" t="str">
        <f>"2012"</f>
        <v>2012</v>
      </c>
      <c r="I863" t="s">
        <v>14</v>
      </c>
      <c r="J863" t="s">
        <v>15</v>
      </c>
    </row>
    <row r="864" spans="1:10">
      <c r="A864" s="2" t="str">
        <f>"861"</f>
        <v>861</v>
      </c>
      <c r="B864" s="2" t="s">
        <v>9</v>
      </c>
      <c r="C864" s="2" t="str">
        <f>"1 (1)"</f>
        <v>1 (1)</v>
      </c>
      <c r="D864" s="2" t="s">
        <v>2800</v>
      </c>
      <c r="E864" s="5" t="s">
        <v>2801</v>
      </c>
      <c r="F864" s="3" t="s">
        <v>2802</v>
      </c>
      <c r="G864" s="3" t="s">
        <v>2803</v>
      </c>
      <c r="H864" s="2" t="str">
        <f>"2012"</f>
        <v>2012</v>
      </c>
      <c r="I864" t="s">
        <v>14</v>
      </c>
      <c r="J864" t="s">
        <v>15</v>
      </c>
    </row>
    <row r="865" spans="1:10">
      <c r="A865" s="2" t="str">
        <f>"862"</f>
        <v>862</v>
      </c>
      <c r="B865" s="2" t="s">
        <v>9</v>
      </c>
      <c r="C865" s="2" t="str">
        <f>"1 (1)"</f>
        <v>1 (1)</v>
      </c>
      <c r="D865" s="2" t="s">
        <v>2804</v>
      </c>
      <c r="E865" s="5" t="s">
        <v>2805</v>
      </c>
      <c r="F865" s="3" t="s">
        <v>2806</v>
      </c>
      <c r="G865" s="3" t="s">
        <v>2807</v>
      </c>
      <c r="H865" s="2" t="str">
        <f>"2012"</f>
        <v>2012</v>
      </c>
      <c r="I865" t="s">
        <v>14</v>
      </c>
      <c r="J865" t="s">
        <v>15</v>
      </c>
    </row>
    <row r="866" spans="1:10">
      <c r="A866" s="2" t="str">
        <f>"863"</f>
        <v>863</v>
      </c>
      <c r="B866" s="2" t="s">
        <v>9</v>
      </c>
      <c r="C866" s="2" t="str">
        <f>"1 (1)"</f>
        <v>1 (1)</v>
      </c>
      <c r="D866" s="2" t="s">
        <v>2808</v>
      </c>
      <c r="E866" s="5" t="s">
        <v>2809</v>
      </c>
      <c r="F866" s="3" t="s">
        <v>2810</v>
      </c>
      <c r="G866" s="3" t="s">
        <v>2811</v>
      </c>
      <c r="H866" s="2" t="str">
        <f>"2012"</f>
        <v>2012</v>
      </c>
      <c r="I866" t="s">
        <v>14</v>
      </c>
      <c r="J866" t="s">
        <v>15</v>
      </c>
    </row>
    <row r="867" spans="1:10">
      <c r="A867" s="2" t="str">
        <f>"864"</f>
        <v>864</v>
      </c>
      <c r="B867" s="2" t="s">
        <v>9</v>
      </c>
      <c r="C867" s="2" t="str">
        <f>"1 (1)"</f>
        <v>1 (1)</v>
      </c>
      <c r="D867" s="2" t="s">
        <v>2812</v>
      </c>
      <c r="E867" s="5" t="s">
        <v>2813</v>
      </c>
      <c r="F867" s="3" t="s">
        <v>2814</v>
      </c>
      <c r="G867" s="3" t="s">
        <v>2815</v>
      </c>
      <c r="H867" s="2" t="str">
        <f>"2012"</f>
        <v>2012</v>
      </c>
      <c r="I867" t="s">
        <v>14</v>
      </c>
      <c r="J867" t="s">
        <v>15</v>
      </c>
    </row>
    <row r="868" spans="1:10">
      <c r="A868" s="2" t="str">
        <f>"865"</f>
        <v>865</v>
      </c>
      <c r="B868" s="2" t="s">
        <v>9</v>
      </c>
      <c r="C868" s="2" t="str">
        <f>"1 (1)"</f>
        <v>1 (1)</v>
      </c>
      <c r="D868" s="2" t="s">
        <v>2816</v>
      </c>
      <c r="E868" s="5" t="s">
        <v>2817</v>
      </c>
      <c r="F868" s="3" t="s">
        <v>2818</v>
      </c>
      <c r="G868" s="3" t="s">
        <v>2689</v>
      </c>
      <c r="H868" s="2" t="str">
        <f>"2012"</f>
        <v>2012</v>
      </c>
      <c r="I868" t="s">
        <v>14</v>
      </c>
      <c r="J868" t="s">
        <v>15</v>
      </c>
    </row>
    <row r="869" spans="1:10">
      <c r="A869" s="2" t="str">
        <f>"866"</f>
        <v>866</v>
      </c>
      <c r="B869" s="2" t="s">
        <v>9</v>
      </c>
      <c r="C869" s="2" t="str">
        <f>"1 (1)"</f>
        <v>1 (1)</v>
      </c>
      <c r="D869" s="2" t="s">
        <v>2819</v>
      </c>
      <c r="E869" s="5" t="s">
        <v>2820</v>
      </c>
      <c r="F869" s="3" t="s">
        <v>2821</v>
      </c>
      <c r="G869" s="3" t="s">
        <v>2822</v>
      </c>
      <c r="H869" s="2" t="str">
        <f>"2012"</f>
        <v>2012</v>
      </c>
      <c r="I869" t="s">
        <v>14</v>
      </c>
      <c r="J869" t="s">
        <v>15</v>
      </c>
    </row>
    <row r="870" spans="1:10">
      <c r="A870" s="2" t="str">
        <f>"867"</f>
        <v>867</v>
      </c>
      <c r="B870" s="2" t="s">
        <v>9</v>
      </c>
      <c r="C870" s="2" t="str">
        <f>"1 (1)"</f>
        <v>1 (1)</v>
      </c>
      <c r="D870" s="2" t="s">
        <v>2823</v>
      </c>
      <c r="E870" s="5" t="s">
        <v>2824</v>
      </c>
      <c r="F870" s="3" t="s">
        <v>2825</v>
      </c>
      <c r="G870" s="3" t="s">
        <v>2826</v>
      </c>
      <c r="H870" s="2" t="str">
        <f>"2012"</f>
        <v>2012</v>
      </c>
      <c r="I870" t="s">
        <v>14</v>
      </c>
      <c r="J870" t="s">
        <v>15</v>
      </c>
    </row>
    <row r="871" spans="1:10">
      <c r="A871" s="2" t="str">
        <f>"868"</f>
        <v>868</v>
      </c>
      <c r="B871" s="2" t="s">
        <v>9</v>
      </c>
      <c r="C871" s="2" t="str">
        <f>"1 (1)"</f>
        <v>1 (1)</v>
      </c>
      <c r="D871" s="2" t="s">
        <v>2827</v>
      </c>
      <c r="E871" s="5" t="s">
        <v>2828</v>
      </c>
      <c r="F871" s="3" t="s">
        <v>2829</v>
      </c>
      <c r="G871" s="3" t="s">
        <v>2830</v>
      </c>
      <c r="H871" s="2" t="str">
        <f>"2012"</f>
        <v>2012</v>
      </c>
      <c r="I871" t="s">
        <v>14</v>
      </c>
      <c r="J871" t="s">
        <v>15</v>
      </c>
    </row>
    <row r="872" spans="1:10">
      <c r="A872" s="2" t="str">
        <f>"869"</f>
        <v>869</v>
      </c>
      <c r="B872" s="2" t="s">
        <v>9</v>
      </c>
      <c r="C872" s="2" t="str">
        <f>"1 (1)"</f>
        <v>1 (1)</v>
      </c>
      <c r="D872" s="2" t="s">
        <v>2831</v>
      </c>
      <c r="E872" s="5" t="s">
        <v>2828</v>
      </c>
      <c r="F872" s="3" t="s">
        <v>2829</v>
      </c>
      <c r="G872" s="3" t="s">
        <v>2830</v>
      </c>
      <c r="H872" s="2" t="str">
        <f>"2012"</f>
        <v>2012</v>
      </c>
      <c r="I872" t="s">
        <v>14</v>
      </c>
      <c r="J872" t="s">
        <v>15</v>
      </c>
    </row>
    <row r="873" spans="1:10">
      <c r="A873" s="2" t="str">
        <f>"870"</f>
        <v>870</v>
      </c>
      <c r="B873" s="2" t="s">
        <v>9</v>
      </c>
      <c r="C873" s="2" t="str">
        <f>"1 (1)"</f>
        <v>1 (1)</v>
      </c>
      <c r="D873" s="2" t="s">
        <v>2832</v>
      </c>
      <c r="E873" s="5" t="s">
        <v>2833</v>
      </c>
      <c r="F873" s="3" t="s">
        <v>2834</v>
      </c>
      <c r="G873" s="3" t="s">
        <v>2835</v>
      </c>
      <c r="H873" s="2" t="str">
        <f>"2012"</f>
        <v>2012</v>
      </c>
      <c r="I873" t="s">
        <v>14</v>
      </c>
      <c r="J873" t="s">
        <v>15</v>
      </c>
    </row>
    <row r="874" spans="1:10">
      <c r="A874" s="2" t="str">
        <f>"871"</f>
        <v>871</v>
      </c>
      <c r="B874" s="2" t="s">
        <v>9</v>
      </c>
      <c r="C874" s="2" t="str">
        <f>"1 (1)"</f>
        <v>1 (1)</v>
      </c>
      <c r="D874" s="2" t="s">
        <v>2836</v>
      </c>
      <c r="E874" s="5" t="s">
        <v>2837</v>
      </c>
      <c r="F874" s="3" t="s">
        <v>2838</v>
      </c>
      <c r="G874" s="3" t="s">
        <v>2839</v>
      </c>
      <c r="H874" s="2" t="str">
        <f>"2012"</f>
        <v>2012</v>
      </c>
      <c r="I874" t="s">
        <v>14</v>
      </c>
      <c r="J874" t="s">
        <v>15</v>
      </c>
    </row>
    <row r="875" spans="1:10">
      <c r="A875" s="2" t="str">
        <f>"872"</f>
        <v>872</v>
      </c>
      <c r="B875" s="2" t="s">
        <v>9</v>
      </c>
      <c r="C875" s="2" t="str">
        <f>"1 (1)"</f>
        <v>1 (1)</v>
      </c>
      <c r="D875" s="2" t="s">
        <v>2840</v>
      </c>
      <c r="E875" s="5" t="s">
        <v>2841</v>
      </c>
      <c r="F875" s="3" t="s">
        <v>2842</v>
      </c>
      <c r="G875" s="3" t="s">
        <v>2843</v>
      </c>
      <c r="H875" s="2" t="str">
        <f>"2012"</f>
        <v>2012</v>
      </c>
      <c r="I875" t="s">
        <v>14</v>
      </c>
      <c r="J875" t="s">
        <v>15</v>
      </c>
    </row>
    <row r="876" spans="1:10">
      <c r="A876" s="2" t="str">
        <f>"873"</f>
        <v>873</v>
      </c>
      <c r="B876" s="2" t="s">
        <v>9</v>
      </c>
      <c r="C876" s="2" t="str">
        <f>"1 (1)"</f>
        <v>1 (1)</v>
      </c>
      <c r="D876" s="2" t="s">
        <v>2844</v>
      </c>
      <c r="E876" s="5" t="s">
        <v>2845</v>
      </c>
      <c r="F876" s="3" t="s">
        <v>2846</v>
      </c>
      <c r="G876" s="3" t="s">
        <v>2847</v>
      </c>
      <c r="H876" s="2" t="str">
        <f>"2012"</f>
        <v>2012</v>
      </c>
      <c r="I876" t="s">
        <v>14</v>
      </c>
      <c r="J876" t="s">
        <v>15</v>
      </c>
    </row>
    <row r="877" spans="1:10">
      <c r="A877" s="2" t="str">
        <f>"874"</f>
        <v>874</v>
      </c>
      <c r="B877" s="2" t="s">
        <v>9</v>
      </c>
      <c r="C877" s="2" t="str">
        <f>"1 (1)"</f>
        <v>1 (1)</v>
      </c>
      <c r="D877" s="2" t="s">
        <v>2848</v>
      </c>
      <c r="E877" s="5" t="s">
        <v>2849</v>
      </c>
      <c r="F877" s="3" t="s">
        <v>2850</v>
      </c>
      <c r="G877" s="3" t="s">
        <v>2851</v>
      </c>
      <c r="H877" s="2" t="str">
        <f>"2012"</f>
        <v>2012</v>
      </c>
      <c r="I877" t="s">
        <v>14</v>
      </c>
      <c r="J877" t="s">
        <v>15</v>
      </c>
    </row>
    <row r="878" spans="1:10">
      <c r="A878" s="2" t="str">
        <f>"875"</f>
        <v>875</v>
      </c>
      <c r="B878" s="2" t="s">
        <v>9</v>
      </c>
      <c r="C878" s="2" t="str">
        <f>"1 (1)"</f>
        <v>1 (1)</v>
      </c>
      <c r="D878" s="2" t="s">
        <v>2852</v>
      </c>
      <c r="E878" s="5" t="s">
        <v>2853</v>
      </c>
      <c r="F878" s="3" t="s">
        <v>2854</v>
      </c>
      <c r="G878" s="3" t="s">
        <v>2855</v>
      </c>
      <c r="H878" s="2" t="str">
        <f>"2012"</f>
        <v>2012</v>
      </c>
      <c r="I878" t="s">
        <v>14</v>
      </c>
      <c r="J878" t="s">
        <v>15</v>
      </c>
    </row>
    <row r="879" spans="1:10">
      <c r="A879" s="2" t="str">
        <f>"876"</f>
        <v>876</v>
      </c>
      <c r="B879" s="2" t="s">
        <v>9</v>
      </c>
      <c r="C879" s="2" t="str">
        <f>"1 (1)"</f>
        <v>1 (1)</v>
      </c>
      <c r="D879" s="2" t="s">
        <v>2856</v>
      </c>
      <c r="E879" s="5" t="s">
        <v>2857</v>
      </c>
      <c r="F879" s="3" t="s">
        <v>2858</v>
      </c>
      <c r="G879" s="3" t="s">
        <v>2859</v>
      </c>
      <c r="H879" s="2" t="str">
        <f>"2010"</f>
        <v>2010</v>
      </c>
      <c r="I879" t="s">
        <v>14</v>
      </c>
      <c r="J879" t="s">
        <v>15</v>
      </c>
    </row>
    <row r="880" spans="1:10">
      <c r="A880" s="2" t="str">
        <f>"877"</f>
        <v>877</v>
      </c>
      <c r="B880" s="2" t="s">
        <v>9</v>
      </c>
      <c r="C880" s="2" t="str">
        <f>"1 (1)"</f>
        <v>1 (1)</v>
      </c>
      <c r="D880" s="2" t="s">
        <v>2860</v>
      </c>
      <c r="E880" s="5" t="s">
        <v>2857</v>
      </c>
      <c r="F880" s="3" t="s">
        <v>2858</v>
      </c>
      <c r="G880" s="3" t="s">
        <v>2859</v>
      </c>
      <c r="H880" s="2" t="str">
        <f>"2010"</f>
        <v>2010</v>
      </c>
      <c r="I880" t="s">
        <v>14</v>
      </c>
      <c r="J880" t="s">
        <v>15</v>
      </c>
    </row>
    <row r="881" spans="1:10">
      <c r="A881" s="2" t="str">
        <f>"878"</f>
        <v>878</v>
      </c>
      <c r="B881" s="2" t="s">
        <v>9</v>
      </c>
      <c r="C881" s="2" t="str">
        <f>"1 (1)"</f>
        <v>1 (1)</v>
      </c>
      <c r="D881" s="2" t="s">
        <v>2861</v>
      </c>
      <c r="E881" s="5" t="s">
        <v>2857</v>
      </c>
      <c r="F881" s="3" t="s">
        <v>2858</v>
      </c>
      <c r="G881" s="3" t="s">
        <v>2859</v>
      </c>
      <c r="H881" s="2" t="str">
        <f>"2010"</f>
        <v>2010</v>
      </c>
      <c r="I881" t="s">
        <v>14</v>
      </c>
      <c r="J881" t="s">
        <v>15</v>
      </c>
    </row>
    <row r="882" spans="1:10">
      <c r="A882" s="2" t="str">
        <f>"879"</f>
        <v>879</v>
      </c>
      <c r="B882" s="2" t="s">
        <v>9</v>
      </c>
      <c r="C882" s="2" t="str">
        <f>"1 (1)"</f>
        <v>1 (1)</v>
      </c>
      <c r="D882" s="2" t="s">
        <v>2862</v>
      </c>
      <c r="E882" s="5" t="s">
        <v>2863</v>
      </c>
      <c r="F882" s="3" t="s">
        <v>2858</v>
      </c>
      <c r="G882" s="3" t="s">
        <v>2859</v>
      </c>
      <c r="H882" s="2" t="str">
        <f>"2010"</f>
        <v>2010</v>
      </c>
      <c r="I882" t="s">
        <v>14</v>
      </c>
      <c r="J882" t="s">
        <v>15</v>
      </c>
    </row>
    <row r="883" spans="1:10">
      <c r="A883" s="2" t="str">
        <f>"880"</f>
        <v>880</v>
      </c>
      <c r="B883" s="2" t="s">
        <v>9</v>
      </c>
      <c r="C883" s="2" t="str">
        <f>"1 (1)"</f>
        <v>1 (1)</v>
      </c>
      <c r="D883" s="2" t="s">
        <v>2864</v>
      </c>
      <c r="E883" s="5" t="s">
        <v>2863</v>
      </c>
      <c r="F883" s="3" t="s">
        <v>2858</v>
      </c>
      <c r="G883" s="3" t="s">
        <v>2859</v>
      </c>
      <c r="H883" s="2" t="str">
        <f>"2010"</f>
        <v>2010</v>
      </c>
      <c r="I883" t="s">
        <v>14</v>
      </c>
      <c r="J883" t="s">
        <v>15</v>
      </c>
    </row>
    <row r="884" spans="1:10">
      <c r="A884" s="2" t="str">
        <f>"881"</f>
        <v>881</v>
      </c>
      <c r="B884" s="2" t="s">
        <v>9</v>
      </c>
      <c r="C884" s="2" t="str">
        <f>"1 (1)"</f>
        <v>1 (1)</v>
      </c>
      <c r="D884" s="2" t="s">
        <v>2865</v>
      </c>
      <c r="E884" s="5" t="s">
        <v>2863</v>
      </c>
      <c r="F884" s="3" t="s">
        <v>2858</v>
      </c>
      <c r="G884" s="3" t="s">
        <v>2859</v>
      </c>
      <c r="H884" s="2" t="str">
        <f>"2010"</f>
        <v>2010</v>
      </c>
      <c r="I884" t="s">
        <v>14</v>
      </c>
      <c r="J884" t="s">
        <v>15</v>
      </c>
    </row>
    <row r="885" spans="1:10">
      <c r="A885" s="2" t="str">
        <f>"882"</f>
        <v>882</v>
      </c>
      <c r="B885" s="2" t="s">
        <v>9</v>
      </c>
      <c r="C885" s="2" t="str">
        <f>"1 (1)"</f>
        <v>1 (1)</v>
      </c>
      <c r="D885" s="2" t="s">
        <v>2866</v>
      </c>
      <c r="E885" s="5" t="s">
        <v>2867</v>
      </c>
      <c r="F885" s="3" t="s">
        <v>2858</v>
      </c>
      <c r="G885" s="3" t="s">
        <v>2859</v>
      </c>
      <c r="H885" s="2" t="str">
        <f>"2010"</f>
        <v>2010</v>
      </c>
      <c r="I885" t="s">
        <v>14</v>
      </c>
      <c r="J885" t="s">
        <v>15</v>
      </c>
    </row>
    <row r="886" spans="1:10">
      <c r="A886" s="2" t="str">
        <f>"883"</f>
        <v>883</v>
      </c>
      <c r="B886" s="2" t="s">
        <v>9</v>
      </c>
      <c r="C886" s="2" t="str">
        <f>"1 (1)"</f>
        <v>1 (1)</v>
      </c>
      <c r="D886" s="2" t="s">
        <v>2868</v>
      </c>
      <c r="E886" s="5" t="s">
        <v>2867</v>
      </c>
      <c r="F886" s="3" t="s">
        <v>2858</v>
      </c>
      <c r="G886" s="3" t="s">
        <v>2859</v>
      </c>
      <c r="H886" s="2" t="str">
        <f>"2010"</f>
        <v>2010</v>
      </c>
      <c r="I886" t="s">
        <v>14</v>
      </c>
      <c r="J886" t="s">
        <v>15</v>
      </c>
    </row>
    <row r="887" spans="1:10">
      <c r="A887" s="2" t="str">
        <f>"884"</f>
        <v>884</v>
      </c>
      <c r="B887" s="2" t="s">
        <v>9</v>
      </c>
      <c r="C887" s="2" t="str">
        <f>"1 (1)"</f>
        <v>1 (1)</v>
      </c>
      <c r="D887" s="2" t="s">
        <v>2869</v>
      </c>
      <c r="E887" s="5" t="s">
        <v>2867</v>
      </c>
      <c r="F887" s="3" t="s">
        <v>2858</v>
      </c>
      <c r="G887" s="3" t="s">
        <v>2859</v>
      </c>
      <c r="H887" s="2" t="str">
        <f>"2010"</f>
        <v>2010</v>
      </c>
      <c r="I887" t="s">
        <v>14</v>
      </c>
      <c r="J887" t="s">
        <v>15</v>
      </c>
    </row>
    <row r="888" spans="1:10">
      <c r="A888" s="2" t="str">
        <f>"885"</f>
        <v>885</v>
      </c>
      <c r="B888" s="2" t="s">
        <v>9</v>
      </c>
      <c r="C888" s="2" t="str">
        <f>"1 (1)"</f>
        <v>1 (1)</v>
      </c>
      <c r="D888" s="2" t="s">
        <v>2870</v>
      </c>
      <c r="E888" s="5" t="s">
        <v>2871</v>
      </c>
      <c r="F888" s="3" t="s">
        <v>2858</v>
      </c>
      <c r="G888" s="3" t="s">
        <v>2859</v>
      </c>
      <c r="H888" s="2" t="str">
        <f>"2010"</f>
        <v>2010</v>
      </c>
      <c r="I888" t="s">
        <v>14</v>
      </c>
      <c r="J888" t="s">
        <v>15</v>
      </c>
    </row>
    <row r="889" spans="1:10">
      <c r="A889" s="2" t="str">
        <f>"886"</f>
        <v>886</v>
      </c>
      <c r="B889" s="2" t="s">
        <v>9</v>
      </c>
      <c r="C889" s="2" t="str">
        <f>"1 (1)"</f>
        <v>1 (1)</v>
      </c>
      <c r="D889" s="2" t="s">
        <v>2872</v>
      </c>
      <c r="E889" s="5" t="s">
        <v>2871</v>
      </c>
      <c r="F889" s="3" t="s">
        <v>2858</v>
      </c>
      <c r="G889" s="3" t="s">
        <v>2859</v>
      </c>
      <c r="H889" s="2" t="str">
        <f>"2010"</f>
        <v>2010</v>
      </c>
      <c r="I889" t="s">
        <v>14</v>
      </c>
      <c r="J889" t="s">
        <v>15</v>
      </c>
    </row>
    <row r="890" spans="1:10">
      <c r="A890" s="2" t="str">
        <f>"887"</f>
        <v>887</v>
      </c>
      <c r="B890" s="2" t="s">
        <v>9</v>
      </c>
      <c r="C890" s="2" t="str">
        <f>"1 (1)"</f>
        <v>1 (1)</v>
      </c>
      <c r="D890" s="2" t="s">
        <v>2873</v>
      </c>
      <c r="E890" s="5" t="s">
        <v>2871</v>
      </c>
      <c r="F890" s="3" t="s">
        <v>2858</v>
      </c>
      <c r="G890" s="3" t="s">
        <v>2859</v>
      </c>
      <c r="H890" s="2" t="str">
        <f>"2010"</f>
        <v>2010</v>
      </c>
      <c r="I890" t="s">
        <v>14</v>
      </c>
      <c r="J890" t="s">
        <v>15</v>
      </c>
    </row>
    <row r="891" spans="1:10">
      <c r="A891" s="2" t="str">
        <f>"888"</f>
        <v>888</v>
      </c>
      <c r="B891" s="2" t="s">
        <v>9</v>
      </c>
      <c r="C891" s="2" t="str">
        <f>"1 (1)"</f>
        <v>1 (1)</v>
      </c>
      <c r="D891" s="2" t="s">
        <v>2874</v>
      </c>
      <c r="E891" s="5" t="s">
        <v>2875</v>
      </c>
      <c r="F891" s="3" t="s">
        <v>2858</v>
      </c>
      <c r="G891" s="3" t="s">
        <v>2859</v>
      </c>
      <c r="H891" s="2" t="str">
        <f>"2010"</f>
        <v>2010</v>
      </c>
      <c r="I891" t="s">
        <v>14</v>
      </c>
      <c r="J891" t="s">
        <v>15</v>
      </c>
    </row>
    <row r="892" spans="1:10">
      <c r="A892" s="2" t="str">
        <f>"889"</f>
        <v>889</v>
      </c>
      <c r="B892" s="2" t="s">
        <v>9</v>
      </c>
      <c r="C892" s="2" t="str">
        <f>"1 (1)"</f>
        <v>1 (1)</v>
      </c>
      <c r="D892" s="2" t="s">
        <v>2876</v>
      </c>
      <c r="E892" s="5" t="s">
        <v>2877</v>
      </c>
      <c r="F892" s="3" t="s">
        <v>2858</v>
      </c>
      <c r="G892" s="3" t="s">
        <v>2859</v>
      </c>
      <c r="H892" s="2" t="str">
        <f>"2010"</f>
        <v>2010</v>
      </c>
      <c r="I892" t="s">
        <v>14</v>
      </c>
      <c r="J892" t="s">
        <v>15</v>
      </c>
    </row>
    <row r="893" spans="1:10">
      <c r="A893" s="2" t="str">
        <f>"890"</f>
        <v>890</v>
      </c>
      <c r="B893" s="2" t="s">
        <v>9</v>
      </c>
      <c r="C893" s="2" t="str">
        <f>"1 (1)"</f>
        <v>1 (1)</v>
      </c>
      <c r="D893" s="2" t="s">
        <v>2878</v>
      </c>
      <c r="E893" s="5" t="s">
        <v>2879</v>
      </c>
      <c r="F893" s="3" t="s">
        <v>2880</v>
      </c>
      <c r="G893" s="3" t="s">
        <v>2712</v>
      </c>
      <c r="H893" s="2" t="str">
        <f>"2012"</f>
        <v>2012</v>
      </c>
      <c r="I893" t="s">
        <v>14</v>
      </c>
      <c r="J893" t="s">
        <v>15</v>
      </c>
    </row>
    <row r="894" spans="1:10">
      <c r="A894" s="2" t="str">
        <f>"891"</f>
        <v>891</v>
      </c>
      <c r="B894" s="2" t="s">
        <v>9</v>
      </c>
      <c r="C894" s="2" t="str">
        <f>"1 (1)"</f>
        <v>1 (1)</v>
      </c>
      <c r="D894" s="2" t="s">
        <v>2881</v>
      </c>
      <c r="E894" s="5" t="s">
        <v>2882</v>
      </c>
      <c r="F894" s="3" t="s">
        <v>2883</v>
      </c>
      <c r="G894" s="3" t="s">
        <v>2884</v>
      </c>
      <c r="H894" s="2" t="str">
        <f>"2012"</f>
        <v>2012</v>
      </c>
      <c r="I894" t="s">
        <v>14</v>
      </c>
      <c r="J894" t="s">
        <v>15</v>
      </c>
    </row>
    <row r="895" spans="1:10">
      <c r="A895" s="2" t="str">
        <f>"892"</f>
        <v>892</v>
      </c>
      <c r="B895" s="2" t="s">
        <v>9</v>
      </c>
      <c r="C895" s="2" t="str">
        <f>"1 (1)"</f>
        <v>1 (1)</v>
      </c>
      <c r="D895" s="2" t="s">
        <v>2885</v>
      </c>
      <c r="E895" s="5" t="s">
        <v>2886</v>
      </c>
      <c r="F895" s="3" t="s">
        <v>2887</v>
      </c>
      <c r="G895" s="3" t="s">
        <v>2888</v>
      </c>
      <c r="H895" s="2" t="str">
        <f>"2012"</f>
        <v>2012</v>
      </c>
      <c r="I895" t="s">
        <v>14</v>
      </c>
      <c r="J895" t="s">
        <v>15</v>
      </c>
    </row>
    <row r="896" spans="1:10">
      <c r="A896" s="2" t="str">
        <f>"893"</f>
        <v>893</v>
      </c>
      <c r="B896" s="2" t="s">
        <v>9</v>
      </c>
      <c r="C896" s="2" t="str">
        <f>"1 (1)"</f>
        <v>1 (1)</v>
      </c>
      <c r="D896" s="2" t="s">
        <v>2889</v>
      </c>
      <c r="E896" s="5" t="s">
        <v>2890</v>
      </c>
      <c r="F896" s="3" t="s">
        <v>2891</v>
      </c>
      <c r="G896" s="3" t="s">
        <v>2892</v>
      </c>
      <c r="H896" s="2" t="str">
        <f>"2012"</f>
        <v>2012</v>
      </c>
      <c r="I896" t="s">
        <v>14</v>
      </c>
      <c r="J896" t="s">
        <v>15</v>
      </c>
    </row>
    <row r="897" spans="1:10">
      <c r="A897" s="2" t="str">
        <f>"894"</f>
        <v>894</v>
      </c>
      <c r="B897" s="2" t="s">
        <v>9</v>
      </c>
      <c r="C897" s="2" t="str">
        <f>"1 (1)"</f>
        <v>1 (1)</v>
      </c>
      <c r="D897" s="2" t="s">
        <v>2893</v>
      </c>
      <c r="E897" s="5" t="s">
        <v>2894</v>
      </c>
      <c r="F897" s="3" t="s">
        <v>2895</v>
      </c>
      <c r="G897" s="3" t="s">
        <v>279</v>
      </c>
      <c r="H897" s="2" t="str">
        <f>"2012"</f>
        <v>2012</v>
      </c>
      <c r="I897" t="s">
        <v>14</v>
      </c>
      <c r="J897" t="s">
        <v>15</v>
      </c>
    </row>
    <row r="898" spans="1:10">
      <c r="A898" s="2" t="str">
        <f>"895"</f>
        <v>895</v>
      </c>
      <c r="B898" s="2" t="s">
        <v>9</v>
      </c>
      <c r="C898" s="2" t="str">
        <f>"1 (1)"</f>
        <v>1 (1)</v>
      </c>
      <c r="D898" s="2" t="s">
        <v>2896</v>
      </c>
      <c r="E898" s="5" t="s">
        <v>2897</v>
      </c>
      <c r="F898" s="3" t="s">
        <v>2898</v>
      </c>
      <c r="G898" s="3" t="s">
        <v>2899</v>
      </c>
      <c r="H898" s="2" t="str">
        <f>"2012"</f>
        <v>2012</v>
      </c>
      <c r="I898" t="s">
        <v>14</v>
      </c>
      <c r="J898" t="s">
        <v>15</v>
      </c>
    </row>
    <row r="899" spans="1:10">
      <c r="A899" s="2" t="str">
        <f>"896"</f>
        <v>896</v>
      </c>
      <c r="B899" s="2" t="s">
        <v>9</v>
      </c>
      <c r="C899" s="2" t="str">
        <f>"1 (1)"</f>
        <v>1 (1)</v>
      </c>
      <c r="D899" s="2" t="s">
        <v>2900</v>
      </c>
      <c r="E899" s="5" t="s">
        <v>2901</v>
      </c>
      <c r="F899" s="3" t="s">
        <v>2902</v>
      </c>
      <c r="G899" s="3" t="s">
        <v>2903</v>
      </c>
      <c r="H899" s="2" t="str">
        <f>"2012"</f>
        <v>2012</v>
      </c>
      <c r="I899" t="s">
        <v>14</v>
      </c>
      <c r="J899" t="s">
        <v>15</v>
      </c>
    </row>
    <row r="900" spans="1:10">
      <c r="A900" s="2" t="str">
        <f>"897"</f>
        <v>897</v>
      </c>
      <c r="B900" s="2" t="s">
        <v>9</v>
      </c>
      <c r="C900" s="2" t="str">
        <f>"1 (1)"</f>
        <v>1 (1)</v>
      </c>
      <c r="D900" s="2" t="s">
        <v>2904</v>
      </c>
      <c r="E900" s="5" t="s">
        <v>2905</v>
      </c>
      <c r="F900" s="3" t="s">
        <v>2906</v>
      </c>
      <c r="G900" s="3" t="s">
        <v>2907</v>
      </c>
      <c r="H900" s="2" t="str">
        <f>"2012"</f>
        <v>2012</v>
      </c>
      <c r="I900" t="s">
        <v>14</v>
      </c>
      <c r="J900" t="s">
        <v>15</v>
      </c>
    </row>
    <row r="901" spans="1:10">
      <c r="A901" s="2" t="str">
        <f>"898"</f>
        <v>898</v>
      </c>
      <c r="B901" s="2" t="s">
        <v>9</v>
      </c>
      <c r="C901" s="2" t="str">
        <f>"1 (1)"</f>
        <v>1 (1)</v>
      </c>
      <c r="D901" s="2" t="s">
        <v>2908</v>
      </c>
      <c r="E901" s="5" t="s">
        <v>2909</v>
      </c>
      <c r="F901" s="3" t="s">
        <v>2910</v>
      </c>
      <c r="G901" s="3" t="s">
        <v>2903</v>
      </c>
      <c r="H901" s="2" t="str">
        <f>"2012"</f>
        <v>2012</v>
      </c>
      <c r="I901" t="s">
        <v>14</v>
      </c>
      <c r="J901" t="s">
        <v>15</v>
      </c>
    </row>
    <row r="902" spans="1:10">
      <c r="A902" s="2" t="str">
        <f>"899"</f>
        <v>899</v>
      </c>
      <c r="B902" s="2" t="s">
        <v>9</v>
      </c>
      <c r="C902" s="2" t="str">
        <f>"1 (1)"</f>
        <v>1 (1)</v>
      </c>
      <c r="D902" s="2" t="s">
        <v>2911</v>
      </c>
      <c r="E902" s="5" t="s">
        <v>2912</v>
      </c>
      <c r="F902" s="3" t="s">
        <v>2913</v>
      </c>
      <c r="G902" s="3" t="s">
        <v>2914</v>
      </c>
      <c r="H902" s="2" t="str">
        <f>"2012"</f>
        <v>2012</v>
      </c>
      <c r="I902" t="s">
        <v>14</v>
      </c>
      <c r="J902" t="s">
        <v>15</v>
      </c>
    </row>
    <row r="903" spans="1:10">
      <c r="A903" s="2" t="str">
        <f>"900"</f>
        <v>900</v>
      </c>
      <c r="B903" s="2" t="s">
        <v>9</v>
      </c>
      <c r="C903" s="2" t="str">
        <f>"1 (1)"</f>
        <v>1 (1)</v>
      </c>
      <c r="D903" s="2" t="s">
        <v>2915</v>
      </c>
      <c r="E903" s="5" t="s">
        <v>2916</v>
      </c>
      <c r="F903" s="3" t="s">
        <v>2917</v>
      </c>
      <c r="G903" s="3" t="s">
        <v>1991</v>
      </c>
      <c r="H903" s="2" t="str">
        <f>"2012"</f>
        <v>2012</v>
      </c>
      <c r="I903" t="s">
        <v>14</v>
      </c>
      <c r="J903" t="s">
        <v>15</v>
      </c>
    </row>
    <row r="904" spans="1:10">
      <c r="A904" s="2" t="str">
        <f>"901"</f>
        <v>901</v>
      </c>
      <c r="B904" s="2" t="s">
        <v>9</v>
      </c>
      <c r="C904" s="2" t="str">
        <f>"1 (1)"</f>
        <v>1 (1)</v>
      </c>
      <c r="D904" s="2" t="s">
        <v>2918</v>
      </c>
      <c r="E904" s="5" t="s">
        <v>2919</v>
      </c>
      <c r="F904" s="3" t="s">
        <v>2920</v>
      </c>
      <c r="G904" s="3" t="s">
        <v>2921</v>
      </c>
      <c r="H904" s="2" t="str">
        <f>"2012"</f>
        <v>2012</v>
      </c>
      <c r="I904" t="s">
        <v>14</v>
      </c>
      <c r="J904" t="s">
        <v>15</v>
      </c>
    </row>
    <row r="905" spans="1:10">
      <c r="A905" s="2" t="str">
        <f>"902"</f>
        <v>902</v>
      </c>
      <c r="B905" s="2" t="s">
        <v>9</v>
      </c>
      <c r="C905" s="2" t="str">
        <f>"1 (1)"</f>
        <v>1 (1)</v>
      </c>
      <c r="D905" s="2" t="s">
        <v>2922</v>
      </c>
      <c r="E905" s="5" t="s">
        <v>2923</v>
      </c>
      <c r="F905" s="3" t="s">
        <v>2924</v>
      </c>
      <c r="G905" s="3" t="s">
        <v>648</v>
      </c>
      <c r="H905" s="2" t="str">
        <f>"2012"</f>
        <v>2012</v>
      </c>
      <c r="I905" t="s">
        <v>14</v>
      </c>
      <c r="J905" t="s">
        <v>15</v>
      </c>
    </row>
    <row r="906" spans="1:10">
      <c r="A906" s="2" t="str">
        <f>"903"</f>
        <v>903</v>
      </c>
      <c r="B906" s="2" t="s">
        <v>9</v>
      </c>
      <c r="C906" s="2" t="str">
        <f>"1 (1)"</f>
        <v>1 (1)</v>
      </c>
      <c r="D906" s="2" t="s">
        <v>2925</v>
      </c>
      <c r="E906" s="5" t="s">
        <v>2926</v>
      </c>
      <c r="F906" s="3" t="s">
        <v>2927</v>
      </c>
      <c r="G906" s="3" t="s">
        <v>2928</v>
      </c>
      <c r="H906" s="2" t="str">
        <f>"2012"</f>
        <v>2012</v>
      </c>
      <c r="I906" t="s">
        <v>14</v>
      </c>
      <c r="J906" t="s">
        <v>15</v>
      </c>
    </row>
    <row r="907" spans="1:10">
      <c r="A907" s="2" t="str">
        <f>"904"</f>
        <v>904</v>
      </c>
      <c r="B907" s="2" t="s">
        <v>9</v>
      </c>
      <c r="C907" s="2" t="str">
        <f>"1 (1)"</f>
        <v>1 (1)</v>
      </c>
      <c r="D907" s="2" t="s">
        <v>2929</v>
      </c>
      <c r="E907" s="5" t="s">
        <v>2930</v>
      </c>
      <c r="F907" s="3" t="s">
        <v>2931</v>
      </c>
      <c r="G907" s="3" t="s">
        <v>2932</v>
      </c>
      <c r="H907" s="2" t="str">
        <f>"2012"</f>
        <v>2012</v>
      </c>
      <c r="I907" t="s">
        <v>14</v>
      </c>
      <c r="J907" t="s">
        <v>15</v>
      </c>
    </row>
    <row r="908" spans="1:10">
      <c r="A908" s="2" t="str">
        <f>"905"</f>
        <v>905</v>
      </c>
      <c r="B908" s="2" t="s">
        <v>9</v>
      </c>
      <c r="C908" s="2" t="str">
        <f>"1 (1)"</f>
        <v>1 (1)</v>
      </c>
      <c r="D908" s="2" t="s">
        <v>2933</v>
      </c>
      <c r="E908" s="5" t="s">
        <v>2934</v>
      </c>
      <c r="F908" s="3" t="s">
        <v>2935</v>
      </c>
      <c r="G908" s="3" t="s">
        <v>2936</v>
      </c>
      <c r="H908" s="2" t="str">
        <f>"2012"</f>
        <v>2012</v>
      </c>
      <c r="I908" t="s">
        <v>14</v>
      </c>
      <c r="J908" t="s">
        <v>15</v>
      </c>
    </row>
    <row r="909" spans="1:10">
      <c r="A909" s="2" t="str">
        <f>"906"</f>
        <v>906</v>
      </c>
      <c r="B909" s="2" t="s">
        <v>9</v>
      </c>
      <c r="C909" s="2" t="str">
        <f>"1 (1)"</f>
        <v>1 (1)</v>
      </c>
      <c r="D909" s="2" t="s">
        <v>2937</v>
      </c>
      <c r="E909" s="5" t="s">
        <v>2938</v>
      </c>
      <c r="F909" s="3" t="s">
        <v>2939</v>
      </c>
      <c r="G909" s="3" t="s">
        <v>2903</v>
      </c>
      <c r="H909" s="2" t="str">
        <f>"2012"</f>
        <v>2012</v>
      </c>
      <c r="I909" t="s">
        <v>14</v>
      </c>
      <c r="J909" t="s">
        <v>15</v>
      </c>
    </row>
    <row r="910" spans="1:10">
      <c r="A910" s="2" t="str">
        <f>"907"</f>
        <v>907</v>
      </c>
      <c r="B910" s="2" t="s">
        <v>9</v>
      </c>
      <c r="C910" s="2" t="str">
        <f>"1 (1)"</f>
        <v>1 (1)</v>
      </c>
      <c r="D910" s="2" t="s">
        <v>2940</v>
      </c>
      <c r="E910" s="5" t="s">
        <v>2941</v>
      </c>
      <c r="F910" s="3" t="s">
        <v>2942</v>
      </c>
      <c r="G910" s="3" t="s">
        <v>2943</v>
      </c>
      <c r="H910" s="2" t="str">
        <f>"2012"</f>
        <v>2012</v>
      </c>
      <c r="I910" t="s">
        <v>14</v>
      </c>
      <c r="J910" t="s">
        <v>15</v>
      </c>
    </row>
    <row r="911" spans="1:10">
      <c r="A911" s="2" t="str">
        <f>"908"</f>
        <v>908</v>
      </c>
      <c r="B911" s="2" t="s">
        <v>9</v>
      </c>
      <c r="C911" s="2" t="str">
        <f>"1 (1)"</f>
        <v>1 (1)</v>
      </c>
      <c r="D911" s="2" t="s">
        <v>2944</v>
      </c>
      <c r="E911" s="5" t="s">
        <v>2945</v>
      </c>
      <c r="F911" s="3" t="str">
        <f>"21世紀 英語敎育硏究會(21st C.E.T.A.) 그림 및 편역"</f>
        <v>21世紀 英語敎育硏究會(21st C.E.T.A.) 그림 및 편역</v>
      </c>
      <c r="G911" s="3" t="s">
        <v>2946</v>
      </c>
      <c r="H911" s="2" t="str">
        <f>"2012"</f>
        <v>2012</v>
      </c>
      <c r="I911" t="s">
        <v>14</v>
      </c>
      <c r="J911" t="s">
        <v>15</v>
      </c>
    </row>
    <row r="912" spans="1:10">
      <c r="A912" s="2" t="str">
        <f>"909"</f>
        <v>909</v>
      </c>
      <c r="B912" s="2" t="s">
        <v>9</v>
      </c>
      <c r="C912" s="2" t="str">
        <f>"1 (1)"</f>
        <v>1 (1)</v>
      </c>
      <c r="D912" s="2" t="s">
        <v>2947</v>
      </c>
      <c r="E912" s="5" t="s">
        <v>2948</v>
      </c>
      <c r="F912" s="3" t="s">
        <v>2949</v>
      </c>
      <c r="G912" s="3" t="s">
        <v>2950</v>
      </c>
      <c r="H912" s="2" t="str">
        <f>"2012"</f>
        <v>2012</v>
      </c>
      <c r="I912" t="s">
        <v>14</v>
      </c>
      <c r="J912" t="s">
        <v>15</v>
      </c>
    </row>
    <row r="913" spans="1:10">
      <c r="A913" s="2" t="str">
        <f>"910"</f>
        <v>910</v>
      </c>
      <c r="B913" s="2" t="s">
        <v>9</v>
      </c>
      <c r="C913" s="2" t="str">
        <f>"1 (1)"</f>
        <v>1 (1)</v>
      </c>
      <c r="D913" s="2" t="s">
        <v>2951</v>
      </c>
      <c r="E913" s="5" t="s">
        <v>2952</v>
      </c>
      <c r="F913" s="3" t="s">
        <v>2953</v>
      </c>
      <c r="G913" s="3" t="s">
        <v>2954</v>
      </c>
      <c r="H913" s="2" t="str">
        <f>"2012"</f>
        <v>2012</v>
      </c>
      <c r="I913" t="s">
        <v>14</v>
      </c>
      <c r="J913" t="s">
        <v>15</v>
      </c>
    </row>
    <row r="914" spans="1:10">
      <c r="A914" s="2" t="str">
        <f>"911"</f>
        <v>911</v>
      </c>
      <c r="B914" s="2" t="s">
        <v>9</v>
      </c>
      <c r="C914" s="2" t="str">
        <f>"1 (1)"</f>
        <v>1 (1)</v>
      </c>
      <c r="D914" s="2" t="s">
        <v>2955</v>
      </c>
      <c r="E914" s="5" t="s">
        <v>2956</v>
      </c>
      <c r="F914" s="3" t="s">
        <v>2957</v>
      </c>
      <c r="G914" s="3" t="s">
        <v>2932</v>
      </c>
      <c r="H914" s="2" t="str">
        <f>"2012"</f>
        <v>2012</v>
      </c>
      <c r="I914" t="s">
        <v>14</v>
      </c>
      <c r="J914" t="s">
        <v>15</v>
      </c>
    </row>
    <row r="915" spans="1:10">
      <c r="A915" s="2" t="str">
        <f>"912"</f>
        <v>912</v>
      </c>
      <c r="B915" s="2" t="s">
        <v>9</v>
      </c>
      <c r="C915" s="2" t="str">
        <f>"1 (1)"</f>
        <v>1 (1)</v>
      </c>
      <c r="D915" s="2" t="s">
        <v>2958</v>
      </c>
      <c r="E915" s="5" t="s">
        <v>2959</v>
      </c>
      <c r="F915" s="3" t="s">
        <v>2960</v>
      </c>
      <c r="G915" s="3" t="s">
        <v>2961</v>
      </c>
      <c r="H915" s="2" t="str">
        <f>"2012"</f>
        <v>2012</v>
      </c>
      <c r="I915" t="s">
        <v>14</v>
      </c>
      <c r="J915" t="s">
        <v>15</v>
      </c>
    </row>
    <row r="916" spans="1:10">
      <c r="A916" s="2" t="str">
        <f>"913"</f>
        <v>913</v>
      </c>
      <c r="B916" s="2" t="s">
        <v>9</v>
      </c>
      <c r="C916" s="2" t="str">
        <f>"1 (1)"</f>
        <v>1 (1)</v>
      </c>
      <c r="D916" s="2" t="s">
        <v>2962</v>
      </c>
      <c r="E916" s="5" t="s">
        <v>2963</v>
      </c>
      <c r="F916" s="3" t="s">
        <v>2964</v>
      </c>
      <c r="G916" s="3" t="s">
        <v>2961</v>
      </c>
      <c r="H916" s="2" t="str">
        <f>"2012"</f>
        <v>2012</v>
      </c>
      <c r="I916" t="s">
        <v>14</v>
      </c>
      <c r="J916" t="s">
        <v>15</v>
      </c>
    </row>
    <row r="917" spans="1:10">
      <c r="A917" s="2" t="str">
        <f>"914"</f>
        <v>914</v>
      </c>
      <c r="B917" s="2" t="s">
        <v>9</v>
      </c>
      <c r="C917" s="2" t="str">
        <f>"1 (1)"</f>
        <v>1 (1)</v>
      </c>
      <c r="D917" s="2" t="s">
        <v>2965</v>
      </c>
      <c r="E917" s="5" t="s">
        <v>2966</v>
      </c>
      <c r="F917" s="3" t="s">
        <v>2967</v>
      </c>
      <c r="G917" s="3" t="s">
        <v>2961</v>
      </c>
      <c r="H917" s="2" t="str">
        <f>"2012"</f>
        <v>2012</v>
      </c>
      <c r="I917" t="s">
        <v>14</v>
      </c>
      <c r="J917" t="s">
        <v>15</v>
      </c>
    </row>
    <row r="918" spans="1:10">
      <c r="A918" s="2" t="str">
        <f>"915"</f>
        <v>915</v>
      </c>
      <c r="B918" s="2" t="s">
        <v>9</v>
      </c>
      <c r="C918" s="2" t="str">
        <f>"1 (1)"</f>
        <v>1 (1)</v>
      </c>
      <c r="D918" s="2" t="s">
        <v>2968</v>
      </c>
      <c r="E918" s="5" t="s">
        <v>2969</v>
      </c>
      <c r="F918" s="3" t="s">
        <v>2970</v>
      </c>
      <c r="G918" s="3" t="s">
        <v>2971</v>
      </c>
      <c r="H918" s="2" t="str">
        <f>"2012"</f>
        <v>2012</v>
      </c>
      <c r="I918" t="s">
        <v>14</v>
      </c>
      <c r="J918" t="s">
        <v>15</v>
      </c>
    </row>
    <row r="919" spans="1:10">
      <c r="A919" s="2" t="str">
        <f>"916"</f>
        <v>916</v>
      </c>
      <c r="B919" s="2" t="s">
        <v>9</v>
      </c>
      <c r="C919" s="2" t="str">
        <f>"1 (1)"</f>
        <v>1 (1)</v>
      </c>
      <c r="D919" s="2" t="s">
        <v>2972</v>
      </c>
      <c r="E919" s="5" t="s">
        <v>2973</v>
      </c>
      <c r="F919" s="3" t="s">
        <v>2974</v>
      </c>
      <c r="G919" s="3" t="s">
        <v>2961</v>
      </c>
      <c r="H919" s="2" t="str">
        <f>"2012"</f>
        <v>2012</v>
      </c>
      <c r="I919" t="s">
        <v>14</v>
      </c>
      <c r="J919" t="s">
        <v>15</v>
      </c>
    </row>
    <row r="920" spans="1:10">
      <c r="A920" s="2" t="str">
        <f>"917"</f>
        <v>917</v>
      </c>
      <c r="B920" s="2" t="s">
        <v>9</v>
      </c>
      <c r="C920" s="2" t="str">
        <f>"1 (1)"</f>
        <v>1 (1)</v>
      </c>
      <c r="D920" s="2" t="s">
        <v>2975</v>
      </c>
      <c r="E920" s="5" t="s">
        <v>2976</v>
      </c>
      <c r="F920" s="3" t="s">
        <v>2977</v>
      </c>
      <c r="G920" s="3" t="s">
        <v>2978</v>
      </c>
      <c r="H920" s="2" t="str">
        <f>"2012"</f>
        <v>2012</v>
      </c>
      <c r="I920" t="s">
        <v>14</v>
      </c>
      <c r="J920" t="s">
        <v>15</v>
      </c>
    </row>
    <row r="921" spans="1:10">
      <c r="A921" s="2" t="str">
        <f>"918"</f>
        <v>918</v>
      </c>
      <c r="B921" s="2" t="s">
        <v>9</v>
      </c>
      <c r="C921" s="2" t="str">
        <f>"1 (1)"</f>
        <v>1 (1)</v>
      </c>
      <c r="D921" s="2" t="s">
        <v>2979</v>
      </c>
      <c r="E921" s="5" t="s">
        <v>2980</v>
      </c>
      <c r="F921" s="3" t="s">
        <v>2981</v>
      </c>
      <c r="G921" s="3" t="s">
        <v>2982</v>
      </c>
      <c r="H921" s="2" t="str">
        <f>"2012"</f>
        <v>2012</v>
      </c>
      <c r="I921" t="s">
        <v>14</v>
      </c>
      <c r="J921" t="s">
        <v>15</v>
      </c>
    </row>
    <row r="922" spans="1:10">
      <c r="A922" s="2" t="str">
        <f>"919"</f>
        <v>919</v>
      </c>
      <c r="B922" s="2" t="s">
        <v>9</v>
      </c>
      <c r="C922" s="2" t="str">
        <f>"1 (1)"</f>
        <v>1 (1)</v>
      </c>
      <c r="D922" s="2" t="s">
        <v>2983</v>
      </c>
      <c r="E922" s="5" t="s">
        <v>2984</v>
      </c>
      <c r="F922" s="3" t="s">
        <v>2985</v>
      </c>
      <c r="G922" s="3" t="s">
        <v>2986</v>
      </c>
      <c r="H922" s="2" t="str">
        <f>"2011"</f>
        <v>2011</v>
      </c>
      <c r="I922" t="s">
        <v>14</v>
      </c>
      <c r="J922" t="s">
        <v>15</v>
      </c>
    </row>
    <row r="923" spans="1:10">
      <c r="A923" s="2" t="str">
        <f>"920"</f>
        <v>920</v>
      </c>
      <c r="B923" s="2" t="s">
        <v>9</v>
      </c>
      <c r="C923" s="2" t="str">
        <f>"1 (1)"</f>
        <v>1 (1)</v>
      </c>
      <c r="D923" s="2" t="s">
        <v>2987</v>
      </c>
      <c r="E923" s="5" t="s">
        <v>2988</v>
      </c>
      <c r="F923" s="3" t="s">
        <v>2985</v>
      </c>
      <c r="G923" s="3" t="s">
        <v>2986</v>
      </c>
      <c r="H923" s="2" t="str">
        <f>"2008"</f>
        <v>2008</v>
      </c>
      <c r="I923" t="s">
        <v>14</v>
      </c>
      <c r="J923" t="s">
        <v>15</v>
      </c>
    </row>
    <row r="924" spans="1:10">
      <c r="A924" s="2" t="str">
        <f>"921"</f>
        <v>921</v>
      </c>
      <c r="B924" s="2" t="s">
        <v>9</v>
      </c>
      <c r="C924" s="2" t="str">
        <f>"1 (1)"</f>
        <v>1 (1)</v>
      </c>
      <c r="D924" s="2" t="s">
        <v>2989</v>
      </c>
      <c r="E924" s="5" t="s">
        <v>2990</v>
      </c>
      <c r="F924" s="3" t="s">
        <v>2985</v>
      </c>
      <c r="G924" s="3" t="s">
        <v>2986</v>
      </c>
      <c r="H924" s="2" t="str">
        <f>"2009"</f>
        <v>2009</v>
      </c>
      <c r="I924" t="s">
        <v>14</v>
      </c>
      <c r="J924" t="s">
        <v>15</v>
      </c>
    </row>
    <row r="925" spans="1:10">
      <c r="A925" s="2" t="str">
        <f>"922"</f>
        <v>922</v>
      </c>
      <c r="B925" s="2" t="s">
        <v>9</v>
      </c>
      <c r="C925" s="2" t="str">
        <f>"1 (1)"</f>
        <v>1 (1)</v>
      </c>
      <c r="D925" s="2" t="s">
        <v>2991</v>
      </c>
      <c r="E925" s="5" t="s">
        <v>2992</v>
      </c>
      <c r="F925" s="3" t="s">
        <v>2985</v>
      </c>
      <c r="G925" s="3" t="s">
        <v>2986</v>
      </c>
      <c r="H925" s="2" t="str">
        <f>"2010"</f>
        <v>2010</v>
      </c>
      <c r="I925" t="s">
        <v>14</v>
      </c>
      <c r="J925" t="s">
        <v>15</v>
      </c>
    </row>
    <row r="926" spans="1:10">
      <c r="A926" s="2" t="str">
        <f>"923"</f>
        <v>923</v>
      </c>
      <c r="B926" s="2" t="s">
        <v>9</v>
      </c>
      <c r="C926" s="2" t="str">
        <f>"1 (1)"</f>
        <v>1 (1)</v>
      </c>
      <c r="D926" s="2" t="s">
        <v>2993</v>
      </c>
      <c r="E926" s="5" t="s">
        <v>2994</v>
      </c>
      <c r="F926" s="3" t="s">
        <v>2985</v>
      </c>
      <c r="G926" s="3" t="s">
        <v>2986</v>
      </c>
      <c r="H926" s="2" t="str">
        <f>"2011"</f>
        <v>2011</v>
      </c>
      <c r="I926" t="s">
        <v>14</v>
      </c>
      <c r="J926" t="s">
        <v>15</v>
      </c>
    </row>
    <row r="927" spans="1:10">
      <c r="A927" s="2" t="str">
        <f>"924"</f>
        <v>924</v>
      </c>
      <c r="B927" s="2" t="s">
        <v>9</v>
      </c>
      <c r="C927" s="2" t="str">
        <f>"1 (1)"</f>
        <v>1 (1)</v>
      </c>
      <c r="D927" s="2" t="s">
        <v>2995</v>
      </c>
      <c r="E927" s="5" t="s">
        <v>2996</v>
      </c>
      <c r="F927" s="3" t="s">
        <v>2985</v>
      </c>
      <c r="G927" s="3" t="s">
        <v>2986</v>
      </c>
      <c r="H927" s="2" t="str">
        <f>"2012"</f>
        <v>2012</v>
      </c>
      <c r="I927" t="s">
        <v>14</v>
      </c>
      <c r="J927" t="s">
        <v>15</v>
      </c>
    </row>
    <row r="928" spans="1:10">
      <c r="A928" s="2" t="str">
        <f>"925"</f>
        <v>925</v>
      </c>
      <c r="B928" s="2" t="s">
        <v>9</v>
      </c>
      <c r="C928" s="2" t="str">
        <f>"1 (1)"</f>
        <v>1 (1)</v>
      </c>
      <c r="D928" s="2" t="s">
        <v>2997</v>
      </c>
      <c r="E928" s="5" t="s">
        <v>2998</v>
      </c>
      <c r="F928" s="3" t="s">
        <v>2999</v>
      </c>
      <c r="G928" s="3" t="s">
        <v>3000</v>
      </c>
      <c r="H928" s="2" t="str">
        <f>"2012"</f>
        <v>2012</v>
      </c>
      <c r="I928" t="s">
        <v>14</v>
      </c>
      <c r="J928" t="s">
        <v>15</v>
      </c>
    </row>
    <row r="929" spans="1:10">
      <c r="A929" s="2" t="str">
        <f>"926"</f>
        <v>926</v>
      </c>
      <c r="B929" s="2" t="s">
        <v>9</v>
      </c>
      <c r="C929" s="2" t="str">
        <f>"1 (1)"</f>
        <v>1 (1)</v>
      </c>
      <c r="D929" s="2" t="s">
        <v>3001</v>
      </c>
      <c r="E929" s="5" t="s">
        <v>3002</v>
      </c>
      <c r="F929" s="3" t="s">
        <v>3003</v>
      </c>
      <c r="G929" s="3" t="s">
        <v>3004</v>
      </c>
      <c r="H929" s="2" t="str">
        <f>"2012"</f>
        <v>2012</v>
      </c>
      <c r="I929" t="s">
        <v>14</v>
      </c>
      <c r="J929" t="s">
        <v>15</v>
      </c>
    </row>
    <row r="930" spans="1:10">
      <c r="A930" s="2" t="str">
        <f>"927"</f>
        <v>927</v>
      </c>
      <c r="B930" s="2" t="s">
        <v>9</v>
      </c>
      <c r="C930" s="2" t="str">
        <f>"1 (1)"</f>
        <v>1 (1)</v>
      </c>
      <c r="D930" s="2" t="s">
        <v>3005</v>
      </c>
      <c r="E930" s="5" t="s">
        <v>3006</v>
      </c>
      <c r="F930" s="3" t="s">
        <v>3007</v>
      </c>
      <c r="G930" s="3" t="s">
        <v>3008</v>
      </c>
      <c r="H930" s="2" t="str">
        <f>"2012"</f>
        <v>2012</v>
      </c>
      <c r="I930" t="s">
        <v>14</v>
      </c>
      <c r="J930" t="s">
        <v>15</v>
      </c>
    </row>
    <row r="931" spans="1:10">
      <c r="A931" s="2" t="str">
        <f>"928"</f>
        <v>928</v>
      </c>
      <c r="B931" s="2" t="s">
        <v>9</v>
      </c>
      <c r="C931" s="2" t="str">
        <f>"1 (1)"</f>
        <v>1 (1)</v>
      </c>
      <c r="D931" s="2" t="s">
        <v>3009</v>
      </c>
      <c r="E931" s="5" t="s">
        <v>3010</v>
      </c>
      <c r="F931" s="3" t="s">
        <v>3011</v>
      </c>
      <c r="G931" s="3" t="s">
        <v>3012</v>
      </c>
      <c r="H931" s="2" t="str">
        <f>"2012"</f>
        <v>2012</v>
      </c>
      <c r="I931" t="s">
        <v>14</v>
      </c>
      <c r="J931" t="s">
        <v>15</v>
      </c>
    </row>
    <row r="932" spans="1:10">
      <c r="A932" s="2" t="str">
        <f>"929"</f>
        <v>929</v>
      </c>
      <c r="B932" s="2" t="s">
        <v>9</v>
      </c>
      <c r="C932" s="2" t="str">
        <f>"1 (1)"</f>
        <v>1 (1)</v>
      </c>
      <c r="D932" s="2" t="s">
        <v>3013</v>
      </c>
      <c r="E932" s="5" t="s">
        <v>3014</v>
      </c>
      <c r="F932" s="3" t="s">
        <v>3015</v>
      </c>
      <c r="G932" s="3" t="s">
        <v>3012</v>
      </c>
      <c r="H932" s="2" t="str">
        <f>"2012"</f>
        <v>2012</v>
      </c>
      <c r="I932" t="s">
        <v>14</v>
      </c>
      <c r="J932" t="s">
        <v>15</v>
      </c>
    </row>
    <row r="933" spans="1:10">
      <c r="A933" s="2" t="str">
        <f>"930"</f>
        <v>930</v>
      </c>
      <c r="B933" s="2" t="s">
        <v>9</v>
      </c>
      <c r="C933" s="2" t="str">
        <f>"1 (1)"</f>
        <v>1 (1)</v>
      </c>
      <c r="D933" s="2" t="s">
        <v>3016</v>
      </c>
      <c r="E933" s="5" t="s">
        <v>3017</v>
      </c>
      <c r="F933" s="3" t="s">
        <v>3015</v>
      </c>
      <c r="G933" s="3" t="s">
        <v>3012</v>
      </c>
      <c r="H933" s="2" t="str">
        <f>"2012"</f>
        <v>2012</v>
      </c>
      <c r="I933" t="s">
        <v>14</v>
      </c>
      <c r="J933" t="s">
        <v>15</v>
      </c>
    </row>
    <row r="934" spans="1:10">
      <c r="A934" s="2" t="str">
        <f>"931"</f>
        <v>931</v>
      </c>
      <c r="B934" s="2" t="s">
        <v>9</v>
      </c>
      <c r="C934" s="2" t="str">
        <f>"1 (1)"</f>
        <v>1 (1)</v>
      </c>
      <c r="D934" s="2" t="s">
        <v>3018</v>
      </c>
      <c r="E934" s="5" t="s">
        <v>3019</v>
      </c>
      <c r="F934" s="3" t="s">
        <v>3015</v>
      </c>
      <c r="G934" s="3" t="s">
        <v>3012</v>
      </c>
      <c r="H934" s="2" t="str">
        <f>"2012"</f>
        <v>2012</v>
      </c>
      <c r="I934" t="s">
        <v>14</v>
      </c>
      <c r="J934" t="s">
        <v>15</v>
      </c>
    </row>
    <row r="935" spans="1:10">
      <c r="A935" s="2" t="str">
        <f>"932"</f>
        <v>932</v>
      </c>
      <c r="B935" s="2" t="s">
        <v>9</v>
      </c>
      <c r="C935" s="2" t="str">
        <f>"1 (1)"</f>
        <v>1 (1)</v>
      </c>
      <c r="D935" s="2" t="s">
        <v>3020</v>
      </c>
      <c r="E935" s="5" t="s">
        <v>3021</v>
      </c>
      <c r="F935" s="3" t="s">
        <v>3015</v>
      </c>
      <c r="G935" s="3" t="s">
        <v>3012</v>
      </c>
      <c r="H935" s="2" t="str">
        <f>"2012"</f>
        <v>2012</v>
      </c>
      <c r="I935" t="s">
        <v>14</v>
      </c>
      <c r="J935" t="s">
        <v>15</v>
      </c>
    </row>
    <row r="936" spans="1:10">
      <c r="A936" s="2" t="str">
        <f>"933"</f>
        <v>933</v>
      </c>
      <c r="B936" s="2" t="s">
        <v>9</v>
      </c>
      <c r="C936" s="2" t="str">
        <f>"1 (1)"</f>
        <v>1 (1)</v>
      </c>
      <c r="D936" s="2" t="s">
        <v>3022</v>
      </c>
      <c r="E936" s="5" t="s">
        <v>3023</v>
      </c>
      <c r="F936" s="3" t="s">
        <v>3015</v>
      </c>
      <c r="G936" s="3" t="s">
        <v>3012</v>
      </c>
      <c r="H936" s="2" t="str">
        <f>"2012"</f>
        <v>2012</v>
      </c>
      <c r="I936" t="s">
        <v>14</v>
      </c>
      <c r="J936" t="s">
        <v>15</v>
      </c>
    </row>
    <row r="937" spans="1:10">
      <c r="A937" s="2" t="str">
        <f>"934"</f>
        <v>934</v>
      </c>
      <c r="B937" s="2" t="s">
        <v>9</v>
      </c>
      <c r="C937" s="2" t="str">
        <f>"1 (1)"</f>
        <v>1 (1)</v>
      </c>
      <c r="D937" s="2" t="s">
        <v>3024</v>
      </c>
      <c r="E937" s="5" t="s">
        <v>3025</v>
      </c>
      <c r="F937" s="3" t="s">
        <v>3015</v>
      </c>
      <c r="G937" s="3" t="s">
        <v>3012</v>
      </c>
      <c r="H937" s="2" t="str">
        <f>"2012"</f>
        <v>2012</v>
      </c>
      <c r="I937" t="s">
        <v>14</v>
      </c>
      <c r="J937" t="s">
        <v>15</v>
      </c>
    </row>
    <row r="938" spans="1:10">
      <c r="A938" s="2" t="str">
        <f>"935"</f>
        <v>935</v>
      </c>
      <c r="B938" s="2" t="s">
        <v>9</v>
      </c>
      <c r="C938" s="2" t="str">
        <f>"1 (1)"</f>
        <v>1 (1)</v>
      </c>
      <c r="D938" s="2" t="s">
        <v>3026</v>
      </c>
      <c r="E938" s="5" t="s">
        <v>3027</v>
      </c>
      <c r="F938" s="3" t="s">
        <v>3015</v>
      </c>
      <c r="G938" s="3" t="s">
        <v>3012</v>
      </c>
      <c r="H938" s="2" t="str">
        <f>"2012"</f>
        <v>2012</v>
      </c>
      <c r="I938" t="s">
        <v>14</v>
      </c>
      <c r="J938" t="s">
        <v>15</v>
      </c>
    </row>
    <row r="939" spans="1:10">
      <c r="A939" s="2" t="str">
        <f>"936"</f>
        <v>936</v>
      </c>
      <c r="B939" s="2" t="s">
        <v>9</v>
      </c>
      <c r="C939" s="2" t="str">
        <f>"1 (1)"</f>
        <v>1 (1)</v>
      </c>
      <c r="D939" s="2" t="s">
        <v>3028</v>
      </c>
      <c r="E939" s="5" t="s">
        <v>3029</v>
      </c>
      <c r="F939" s="3" t="s">
        <v>3015</v>
      </c>
      <c r="G939" s="3" t="s">
        <v>3012</v>
      </c>
      <c r="H939" s="2" t="str">
        <f>"2012"</f>
        <v>2012</v>
      </c>
      <c r="I939" t="s">
        <v>14</v>
      </c>
      <c r="J939" t="s">
        <v>15</v>
      </c>
    </row>
    <row r="940" spans="1:10">
      <c r="A940" s="2" t="str">
        <f>"937"</f>
        <v>937</v>
      </c>
      <c r="B940" s="2" t="s">
        <v>9</v>
      </c>
      <c r="C940" s="2" t="str">
        <f>"1 (1)"</f>
        <v>1 (1)</v>
      </c>
      <c r="D940" s="2" t="s">
        <v>3030</v>
      </c>
      <c r="E940" s="5" t="s">
        <v>3031</v>
      </c>
      <c r="F940" s="3" t="s">
        <v>3015</v>
      </c>
      <c r="G940" s="3" t="s">
        <v>3012</v>
      </c>
      <c r="H940" s="2" t="str">
        <f>"2012"</f>
        <v>2012</v>
      </c>
      <c r="I940" t="s">
        <v>14</v>
      </c>
      <c r="J940" t="s">
        <v>15</v>
      </c>
    </row>
    <row r="941" spans="1:10">
      <c r="A941" s="2" t="str">
        <f>"938"</f>
        <v>938</v>
      </c>
      <c r="B941" s="2" t="s">
        <v>9</v>
      </c>
      <c r="C941" s="2" t="str">
        <f>"1 (1)"</f>
        <v>1 (1)</v>
      </c>
      <c r="D941" s="2" t="s">
        <v>3032</v>
      </c>
      <c r="E941" s="5" t="s">
        <v>3033</v>
      </c>
      <c r="F941" s="3" t="s">
        <v>3015</v>
      </c>
      <c r="G941" s="3" t="s">
        <v>3012</v>
      </c>
      <c r="H941" s="2" t="str">
        <f>"2012"</f>
        <v>2012</v>
      </c>
      <c r="I941" t="s">
        <v>14</v>
      </c>
      <c r="J941" t="s">
        <v>15</v>
      </c>
    </row>
    <row r="942" spans="1:10">
      <c r="A942" s="2" t="str">
        <f>"939"</f>
        <v>939</v>
      </c>
      <c r="B942" s="2" t="s">
        <v>9</v>
      </c>
      <c r="C942" s="2" t="str">
        <f>"1 (1)"</f>
        <v>1 (1)</v>
      </c>
      <c r="D942" s="2" t="s">
        <v>3034</v>
      </c>
      <c r="E942" s="5" t="s">
        <v>3035</v>
      </c>
      <c r="F942" s="3" t="s">
        <v>3015</v>
      </c>
      <c r="G942" s="3" t="s">
        <v>3012</v>
      </c>
      <c r="H942" s="2" t="str">
        <f>"2012"</f>
        <v>2012</v>
      </c>
      <c r="I942" t="s">
        <v>14</v>
      </c>
      <c r="J942" t="s">
        <v>15</v>
      </c>
    </row>
    <row r="943" spans="1:10">
      <c r="A943" s="2" t="str">
        <f>"940"</f>
        <v>940</v>
      </c>
      <c r="B943" s="2" t="s">
        <v>9</v>
      </c>
      <c r="C943" s="2" t="str">
        <f>"1 (1)"</f>
        <v>1 (1)</v>
      </c>
      <c r="D943" s="2" t="s">
        <v>3036</v>
      </c>
      <c r="E943" s="5" t="s">
        <v>3037</v>
      </c>
      <c r="F943" s="3" t="s">
        <v>3015</v>
      </c>
      <c r="G943" s="3" t="s">
        <v>3012</v>
      </c>
      <c r="H943" s="2" t="str">
        <f>"2012"</f>
        <v>2012</v>
      </c>
      <c r="I943" t="s">
        <v>14</v>
      </c>
      <c r="J943" t="s">
        <v>15</v>
      </c>
    </row>
    <row r="944" spans="1:10">
      <c r="A944" s="2" t="str">
        <f>"941"</f>
        <v>941</v>
      </c>
      <c r="B944" s="2" t="s">
        <v>9</v>
      </c>
      <c r="C944" s="2" t="str">
        <f>"1 (1)"</f>
        <v>1 (1)</v>
      </c>
      <c r="D944" s="2" t="s">
        <v>3038</v>
      </c>
      <c r="E944" s="5" t="s">
        <v>3039</v>
      </c>
      <c r="F944" s="3" t="s">
        <v>3015</v>
      </c>
      <c r="G944" s="3" t="s">
        <v>3012</v>
      </c>
      <c r="H944" s="2" t="str">
        <f>"2012"</f>
        <v>2012</v>
      </c>
      <c r="I944" t="s">
        <v>14</v>
      </c>
      <c r="J944" t="s">
        <v>15</v>
      </c>
    </row>
    <row r="945" spans="1:10">
      <c r="A945" s="2" t="str">
        <f>"942"</f>
        <v>942</v>
      </c>
      <c r="B945" s="2" t="s">
        <v>9</v>
      </c>
      <c r="C945" s="2" t="str">
        <f>"1 (1)"</f>
        <v>1 (1)</v>
      </c>
      <c r="D945" s="2" t="s">
        <v>3040</v>
      </c>
      <c r="E945" s="5" t="s">
        <v>3041</v>
      </c>
      <c r="F945" s="3" t="s">
        <v>3042</v>
      </c>
      <c r="G945" s="3" t="s">
        <v>3043</v>
      </c>
      <c r="H945" s="2" t="str">
        <f>"2012"</f>
        <v>2012</v>
      </c>
      <c r="I945" t="s">
        <v>14</v>
      </c>
      <c r="J945" t="s">
        <v>15</v>
      </c>
    </row>
    <row r="946" spans="1:10">
      <c r="A946" s="2" t="str">
        <f>"943"</f>
        <v>943</v>
      </c>
      <c r="B946" s="2" t="s">
        <v>9</v>
      </c>
      <c r="C946" s="2" t="str">
        <f>"1 (1)"</f>
        <v>1 (1)</v>
      </c>
      <c r="D946" s="2" t="s">
        <v>3044</v>
      </c>
      <c r="E946" s="5" t="s">
        <v>3045</v>
      </c>
      <c r="F946" s="3" t="s">
        <v>3046</v>
      </c>
      <c r="G946" s="3" t="s">
        <v>3047</v>
      </c>
      <c r="H946" s="2" t="str">
        <f>"2012"</f>
        <v>2012</v>
      </c>
      <c r="I946" t="s">
        <v>14</v>
      </c>
      <c r="J946" t="s">
        <v>15</v>
      </c>
    </row>
    <row r="947" spans="1:10">
      <c r="A947" s="2" t="str">
        <f>"944"</f>
        <v>944</v>
      </c>
      <c r="B947" s="2" t="s">
        <v>9</v>
      </c>
      <c r="C947" s="2" t="str">
        <f>"1 (1)"</f>
        <v>1 (1)</v>
      </c>
      <c r="D947" s="2" t="s">
        <v>3048</v>
      </c>
      <c r="E947" s="5" t="str">
        <f>"5월18일, 광주  : 광주민중항쟁, 그 원인과 전개과정"</f>
        <v>5월18일, 광주  : 광주민중항쟁, 그 원인과 전개과정</v>
      </c>
      <c r="F947" s="3" t="s">
        <v>3049</v>
      </c>
      <c r="G947" s="3" t="s">
        <v>3050</v>
      </c>
      <c r="H947" s="2" t="str">
        <f>"2010"</f>
        <v>2010</v>
      </c>
      <c r="I947" t="s">
        <v>14</v>
      </c>
      <c r="J947" t="s">
        <v>15</v>
      </c>
    </row>
    <row r="948" spans="1:10">
      <c r="A948" s="2" t="str">
        <f>"945"</f>
        <v>945</v>
      </c>
      <c r="B948" s="2" t="s">
        <v>9</v>
      </c>
      <c r="C948" s="2" t="str">
        <f>"1 (1)"</f>
        <v>1 (1)</v>
      </c>
      <c r="D948" s="2" t="s">
        <v>3051</v>
      </c>
      <c r="E948" s="5" t="s">
        <v>3052</v>
      </c>
      <c r="F948" s="3" t="s">
        <v>3053</v>
      </c>
      <c r="G948" s="3" t="s">
        <v>3054</v>
      </c>
      <c r="H948" s="2" t="str">
        <f>"2012"</f>
        <v>2012</v>
      </c>
      <c r="I948" t="s">
        <v>14</v>
      </c>
      <c r="J948" t="s">
        <v>15</v>
      </c>
    </row>
    <row r="949" spans="1:10">
      <c r="A949" s="2" t="str">
        <f>"946"</f>
        <v>946</v>
      </c>
      <c r="B949" s="2" t="s">
        <v>9</v>
      </c>
      <c r="C949" s="2" t="str">
        <f>"1 (1)"</f>
        <v>1 (1)</v>
      </c>
      <c r="D949" s="2" t="s">
        <v>3055</v>
      </c>
      <c r="E949" s="5" t="s">
        <v>3056</v>
      </c>
      <c r="F949" s="3" t="s">
        <v>3057</v>
      </c>
      <c r="G949" s="3" t="s">
        <v>3058</v>
      </c>
      <c r="H949" s="2" t="str">
        <f>"2012"</f>
        <v>2012</v>
      </c>
      <c r="I949" t="s">
        <v>14</v>
      </c>
      <c r="J949" t="s">
        <v>15</v>
      </c>
    </row>
    <row r="950" spans="1:10">
      <c r="A950" s="2" t="str">
        <f>"947"</f>
        <v>947</v>
      </c>
      <c r="B950" s="2" t="s">
        <v>9</v>
      </c>
      <c r="C950" s="2" t="str">
        <f>"1 (1)"</f>
        <v>1 (1)</v>
      </c>
      <c r="D950" s="2" t="s">
        <v>3059</v>
      </c>
      <c r="E950" s="5" t="s">
        <v>3060</v>
      </c>
      <c r="F950" s="3" t="s">
        <v>3061</v>
      </c>
      <c r="G950" s="3" t="s">
        <v>3050</v>
      </c>
      <c r="H950" s="2" t="str">
        <f>"2006"</f>
        <v>2006</v>
      </c>
      <c r="I950" t="s">
        <v>14</v>
      </c>
      <c r="J950" t="s">
        <v>15</v>
      </c>
    </row>
    <row r="951" spans="1:10">
      <c r="A951" s="2" t="str">
        <f>"948"</f>
        <v>948</v>
      </c>
      <c r="B951" s="2" t="s">
        <v>9</v>
      </c>
      <c r="C951" s="2" t="str">
        <f>"1 (1)"</f>
        <v>1 (1)</v>
      </c>
      <c r="D951" s="2" t="s">
        <v>3062</v>
      </c>
      <c r="E951" s="5" t="s">
        <v>3063</v>
      </c>
      <c r="F951" s="3" t="s">
        <v>3064</v>
      </c>
      <c r="G951" s="3" t="s">
        <v>3065</v>
      </c>
      <c r="H951" s="2" t="str">
        <f>"2012"</f>
        <v>2012</v>
      </c>
      <c r="I951" t="s">
        <v>14</v>
      </c>
      <c r="J951" t="s">
        <v>15</v>
      </c>
    </row>
    <row r="952" spans="1:10">
      <c r="A952" s="2" t="str">
        <f>"949"</f>
        <v>949</v>
      </c>
      <c r="B952" s="2" t="s">
        <v>9</v>
      </c>
      <c r="C952" s="2" t="str">
        <f>"1 (1)"</f>
        <v>1 (1)</v>
      </c>
      <c r="D952" s="2" t="s">
        <v>3066</v>
      </c>
      <c r="E952" s="5" t="s">
        <v>3067</v>
      </c>
      <c r="F952" s="3" t="s">
        <v>3068</v>
      </c>
      <c r="G952" s="3" t="s">
        <v>3069</v>
      </c>
      <c r="H952" s="2" t="str">
        <f>"2010"</f>
        <v>2010</v>
      </c>
      <c r="I952" t="s">
        <v>14</v>
      </c>
      <c r="J952" t="s">
        <v>15</v>
      </c>
    </row>
    <row r="953" spans="1:10">
      <c r="A953" s="2" t="str">
        <f>"950"</f>
        <v>950</v>
      </c>
      <c r="B953" s="2" t="s">
        <v>9</v>
      </c>
      <c r="C953" s="2" t="str">
        <f>"1 (1)"</f>
        <v>1 (1)</v>
      </c>
      <c r="D953" s="2" t="s">
        <v>3070</v>
      </c>
      <c r="E953" s="5" t="s">
        <v>2415</v>
      </c>
      <c r="F953" s="3" t="s">
        <v>2416</v>
      </c>
      <c r="G953" s="3" t="s">
        <v>2417</v>
      </c>
      <c r="H953" s="2" t="str">
        <f>"2012"</f>
        <v>2012</v>
      </c>
      <c r="I953" t="s">
        <v>14</v>
      </c>
      <c r="J953" t="s">
        <v>15</v>
      </c>
    </row>
    <row r="954" spans="1:10">
      <c r="A954" s="2" t="str">
        <f>"951"</f>
        <v>951</v>
      </c>
      <c r="B954" s="2" t="s">
        <v>9</v>
      </c>
      <c r="C954" s="2" t="str">
        <f>"1 (1)"</f>
        <v>1 (1)</v>
      </c>
      <c r="D954" s="2" t="s">
        <v>3071</v>
      </c>
      <c r="E954" s="5" t="s">
        <v>3072</v>
      </c>
      <c r="F954" s="3" t="s">
        <v>3073</v>
      </c>
      <c r="G954" s="3" t="s">
        <v>3074</v>
      </c>
      <c r="H954" s="2" t="str">
        <f>"2012"</f>
        <v>2012</v>
      </c>
      <c r="I954" t="s">
        <v>14</v>
      </c>
      <c r="J954" t="s">
        <v>15</v>
      </c>
    </row>
    <row r="955" spans="1:10">
      <c r="A955" s="2" t="str">
        <f>"952"</f>
        <v>952</v>
      </c>
      <c r="B955" s="2" t="s">
        <v>9</v>
      </c>
      <c r="C955" s="2" t="str">
        <f>"1 (1)"</f>
        <v>1 (1)</v>
      </c>
      <c r="D955" s="2" t="s">
        <v>3075</v>
      </c>
      <c r="E955" s="5" t="s">
        <v>3076</v>
      </c>
      <c r="F955" s="3" t="s">
        <v>3077</v>
      </c>
      <c r="G955" s="3" t="s">
        <v>3078</v>
      </c>
      <c r="H955" s="2" t="str">
        <f>"2012"</f>
        <v>2012</v>
      </c>
      <c r="I955" t="s">
        <v>14</v>
      </c>
      <c r="J955" t="s">
        <v>15</v>
      </c>
    </row>
    <row r="956" spans="1:10">
      <c r="A956" s="2" t="str">
        <f>"953"</f>
        <v>953</v>
      </c>
      <c r="B956" s="2" t="s">
        <v>9</v>
      </c>
      <c r="C956" s="2" t="str">
        <f>"1 (1)"</f>
        <v>1 (1)</v>
      </c>
      <c r="D956" s="2" t="s">
        <v>3079</v>
      </c>
      <c r="E956" s="5" t="s">
        <v>3080</v>
      </c>
      <c r="F956" s="3" t="s">
        <v>3081</v>
      </c>
      <c r="G956" s="3" t="str">
        <f>"21세기북스"</f>
        <v>21세기북스</v>
      </c>
      <c r="H956" s="2" t="str">
        <f>"2012"</f>
        <v>2012</v>
      </c>
      <c r="I956" t="s">
        <v>14</v>
      </c>
      <c r="J956" t="s">
        <v>15</v>
      </c>
    </row>
    <row r="957" spans="1:10">
      <c r="A957" s="2" t="str">
        <f>"954"</f>
        <v>954</v>
      </c>
      <c r="B957" s="2" t="s">
        <v>9</v>
      </c>
      <c r="C957" s="2" t="str">
        <f>"1 (1)"</f>
        <v>1 (1)</v>
      </c>
      <c r="D957" s="2" t="s">
        <v>3082</v>
      </c>
      <c r="E957" s="5" t="s">
        <v>3083</v>
      </c>
      <c r="F957" s="3" t="s">
        <v>3084</v>
      </c>
      <c r="G957" s="3" t="s">
        <v>2783</v>
      </c>
      <c r="H957" s="2" t="str">
        <f>"2011"</f>
        <v>2011</v>
      </c>
      <c r="I957" t="s">
        <v>14</v>
      </c>
      <c r="J957" t="s">
        <v>15</v>
      </c>
    </row>
    <row r="958" spans="1:10">
      <c r="A958" s="2" t="str">
        <f>"955"</f>
        <v>955</v>
      </c>
      <c r="B958" s="2" t="s">
        <v>9</v>
      </c>
      <c r="C958" s="2" t="str">
        <f>"1 (1)"</f>
        <v>1 (1)</v>
      </c>
      <c r="D958" s="2" t="s">
        <v>3085</v>
      </c>
      <c r="E958" s="5" t="s">
        <v>3086</v>
      </c>
      <c r="F958" s="3" t="s">
        <v>3084</v>
      </c>
      <c r="G958" s="3" t="s">
        <v>2783</v>
      </c>
      <c r="H958" s="2" t="str">
        <f>"2012"</f>
        <v>2012</v>
      </c>
      <c r="I958" t="s">
        <v>14</v>
      </c>
      <c r="J958" t="s">
        <v>15</v>
      </c>
    </row>
    <row r="959" spans="1:10">
      <c r="A959" s="2" t="str">
        <f>"956"</f>
        <v>956</v>
      </c>
      <c r="B959" s="2" t="s">
        <v>9</v>
      </c>
      <c r="C959" s="2" t="str">
        <f>"1 (1)"</f>
        <v>1 (1)</v>
      </c>
      <c r="D959" s="2" t="s">
        <v>3087</v>
      </c>
      <c r="E959" s="5" t="s">
        <v>3088</v>
      </c>
      <c r="F959" s="3" t="s">
        <v>3089</v>
      </c>
      <c r="G959" s="3" t="s">
        <v>3090</v>
      </c>
      <c r="H959" s="2" t="str">
        <f>"2006"</f>
        <v>2006</v>
      </c>
      <c r="I959" t="s">
        <v>14</v>
      </c>
      <c r="J959" t="s">
        <v>15</v>
      </c>
    </row>
    <row r="960" spans="1:10">
      <c r="A960" s="2" t="str">
        <f>"957"</f>
        <v>957</v>
      </c>
      <c r="B960" s="2" t="s">
        <v>9</v>
      </c>
      <c r="C960" s="2" t="str">
        <f>"1 (1)"</f>
        <v>1 (1)</v>
      </c>
      <c r="D960" s="2" t="s">
        <v>3091</v>
      </c>
      <c r="E960" s="5" t="s">
        <v>3092</v>
      </c>
      <c r="F960" s="3" t="s">
        <v>3093</v>
      </c>
      <c r="G960" s="3" t="s">
        <v>3094</v>
      </c>
      <c r="H960" s="2" t="str">
        <f>"2012"</f>
        <v>2012</v>
      </c>
      <c r="I960" t="s">
        <v>14</v>
      </c>
      <c r="J960" t="s">
        <v>15</v>
      </c>
    </row>
    <row r="961" spans="1:10">
      <c r="A961" s="2" t="str">
        <f>"958"</f>
        <v>958</v>
      </c>
      <c r="B961" s="2" t="s">
        <v>9</v>
      </c>
      <c r="C961" s="2" t="str">
        <f>"1 (1)"</f>
        <v>1 (1)</v>
      </c>
      <c r="D961" s="2" t="s">
        <v>3095</v>
      </c>
      <c r="E961" s="5" t="s">
        <v>3096</v>
      </c>
      <c r="F961" s="3" t="s">
        <v>3097</v>
      </c>
      <c r="G961" s="3" t="s">
        <v>3098</v>
      </c>
      <c r="H961" s="2" t="str">
        <f>"2012"</f>
        <v>2012</v>
      </c>
      <c r="I961" t="s">
        <v>14</v>
      </c>
      <c r="J961" t="s">
        <v>15</v>
      </c>
    </row>
    <row r="962" spans="1:10">
      <c r="A962" s="2" t="str">
        <f>"959"</f>
        <v>959</v>
      </c>
      <c r="B962" s="2" t="s">
        <v>9</v>
      </c>
      <c r="C962" s="2" t="str">
        <f>"1 (1)"</f>
        <v>1 (1)</v>
      </c>
      <c r="D962" s="2" t="s">
        <v>3099</v>
      </c>
      <c r="E962" s="5" t="s">
        <v>3100</v>
      </c>
      <c r="F962" s="3" t="s">
        <v>3101</v>
      </c>
      <c r="G962" s="3" t="s">
        <v>3102</v>
      </c>
      <c r="H962" s="2" t="str">
        <f>"2012"</f>
        <v>2012</v>
      </c>
      <c r="I962" t="s">
        <v>14</v>
      </c>
      <c r="J962" t="s">
        <v>15</v>
      </c>
    </row>
    <row r="963" spans="1:10">
      <c r="A963" s="2" t="str">
        <f>"960"</f>
        <v>960</v>
      </c>
      <c r="B963" s="2" t="s">
        <v>9</v>
      </c>
      <c r="C963" s="2" t="str">
        <f>"1 (1)"</f>
        <v>1 (1)</v>
      </c>
      <c r="D963" s="2" t="s">
        <v>3103</v>
      </c>
      <c r="E963" s="5" t="s">
        <v>3104</v>
      </c>
      <c r="F963" s="3" t="s">
        <v>3105</v>
      </c>
      <c r="G963" s="3" t="s">
        <v>3106</v>
      </c>
      <c r="H963" s="2" t="str">
        <f>"2012"</f>
        <v>2012</v>
      </c>
      <c r="I963" t="s">
        <v>14</v>
      </c>
      <c r="J963" t="s">
        <v>15</v>
      </c>
    </row>
    <row r="964" spans="1:10">
      <c r="A964" s="2" t="str">
        <f>"961"</f>
        <v>961</v>
      </c>
      <c r="B964" s="2" t="s">
        <v>9</v>
      </c>
      <c r="C964" s="2" t="str">
        <f>"1 (1)"</f>
        <v>1 (1)</v>
      </c>
      <c r="D964" s="2" t="s">
        <v>3107</v>
      </c>
      <c r="E964" s="5" t="s">
        <v>3108</v>
      </c>
      <c r="F964" s="3" t="s">
        <v>3109</v>
      </c>
      <c r="G964" s="3" t="s">
        <v>3110</v>
      </c>
      <c r="H964" s="2" t="str">
        <f>"2012"</f>
        <v>2012</v>
      </c>
      <c r="I964" t="s">
        <v>14</v>
      </c>
      <c r="J964" t="s">
        <v>15</v>
      </c>
    </row>
    <row r="965" spans="1:10">
      <c r="A965" s="2" t="str">
        <f>"962"</f>
        <v>962</v>
      </c>
      <c r="B965" s="2" t="s">
        <v>9</v>
      </c>
      <c r="C965" s="2" t="str">
        <f>"1 (1)"</f>
        <v>1 (1)</v>
      </c>
      <c r="D965" s="2" t="s">
        <v>3111</v>
      </c>
      <c r="E965" s="5" t="s">
        <v>3112</v>
      </c>
      <c r="F965" s="3" t="s">
        <v>3113</v>
      </c>
      <c r="G965" s="3" t="s">
        <v>3114</v>
      </c>
      <c r="H965" s="2" t="str">
        <f>"2012"</f>
        <v>2012</v>
      </c>
      <c r="I965" t="s">
        <v>14</v>
      </c>
      <c r="J965" t="s">
        <v>15</v>
      </c>
    </row>
    <row r="966" spans="1:10">
      <c r="A966" s="2" t="str">
        <f>"963"</f>
        <v>963</v>
      </c>
      <c r="B966" s="2" t="s">
        <v>9</v>
      </c>
      <c r="C966" s="2" t="str">
        <f>"1 (1)"</f>
        <v>1 (1)</v>
      </c>
      <c r="D966" s="2" t="s">
        <v>3115</v>
      </c>
      <c r="E966" s="5" t="s">
        <v>3116</v>
      </c>
      <c r="F966" s="3" t="s">
        <v>3117</v>
      </c>
      <c r="G966" s="3" t="s">
        <v>3118</v>
      </c>
      <c r="H966" s="2" t="str">
        <f>"2012"</f>
        <v>2012</v>
      </c>
      <c r="I966" t="s">
        <v>14</v>
      </c>
      <c r="J966" t="s">
        <v>15</v>
      </c>
    </row>
    <row r="967" spans="1:10">
      <c r="A967" s="2" t="str">
        <f>"964"</f>
        <v>964</v>
      </c>
      <c r="B967" s="2" t="s">
        <v>9</v>
      </c>
      <c r="C967" s="2" t="str">
        <f>"1 (1)"</f>
        <v>1 (1)</v>
      </c>
      <c r="D967" s="2" t="s">
        <v>3119</v>
      </c>
      <c r="E967" s="5" t="s">
        <v>3120</v>
      </c>
      <c r="F967" s="3" t="s">
        <v>3121</v>
      </c>
      <c r="G967" s="3" t="s">
        <v>3122</v>
      </c>
      <c r="H967" s="2" t="str">
        <f>"2012"</f>
        <v>2012</v>
      </c>
      <c r="I967" t="s">
        <v>14</v>
      </c>
      <c r="J967" t="s">
        <v>15</v>
      </c>
    </row>
    <row r="968" spans="1:10">
      <c r="A968" s="2" t="str">
        <f>"965"</f>
        <v>965</v>
      </c>
      <c r="B968" s="2" t="s">
        <v>9</v>
      </c>
      <c r="C968" s="2" t="str">
        <f>"1 (1)"</f>
        <v>1 (1)</v>
      </c>
      <c r="D968" s="2" t="s">
        <v>3123</v>
      </c>
      <c r="E968" s="5" t="s">
        <v>3124</v>
      </c>
      <c r="F968" s="3" t="s">
        <v>3125</v>
      </c>
      <c r="G968" s="3" t="s">
        <v>2610</v>
      </c>
      <c r="H968" s="2" t="str">
        <f>"2012"</f>
        <v>2012</v>
      </c>
      <c r="I968" t="s">
        <v>14</v>
      </c>
      <c r="J968" t="s">
        <v>15</v>
      </c>
    </row>
    <row r="969" spans="1:10">
      <c r="A969" s="2" t="str">
        <f>"966"</f>
        <v>966</v>
      </c>
      <c r="B969" s="2" t="s">
        <v>9</v>
      </c>
      <c r="C969" s="2" t="str">
        <f>"1 (1)"</f>
        <v>1 (1)</v>
      </c>
      <c r="D969" s="2" t="s">
        <v>3126</v>
      </c>
      <c r="E969" s="5" t="s">
        <v>3127</v>
      </c>
      <c r="F969" s="3" t="s">
        <v>3128</v>
      </c>
      <c r="G969" s="3" t="s">
        <v>3129</v>
      </c>
      <c r="H969" s="2" t="str">
        <f>"2012"</f>
        <v>2012</v>
      </c>
      <c r="I969" t="s">
        <v>14</v>
      </c>
      <c r="J969" t="s">
        <v>15</v>
      </c>
    </row>
    <row r="970" spans="1:10">
      <c r="A970" s="2" t="str">
        <f>"967"</f>
        <v>967</v>
      </c>
      <c r="B970" s="2" t="s">
        <v>9</v>
      </c>
      <c r="C970" s="2" t="str">
        <f>"1 (1)"</f>
        <v>1 (1)</v>
      </c>
      <c r="D970" s="2" t="s">
        <v>3130</v>
      </c>
      <c r="E970" s="5" t="s">
        <v>3131</v>
      </c>
      <c r="F970" s="3" t="s">
        <v>3132</v>
      </c>
      <c r="G970" s="3" t="s">
        <v>3118</v>
      </c>
      <c r="H970" s="2" t="str">
        <f>"2012"</f>
        <v>2012</v>
      </c>
      <c r="I970" t="s">
        <v>14</v>
      </c>
      <c r="J970" t="s">
        <v>15</v>
      </c>
    </row>
    <row r="971" spans="1:10">
      <c r="A971" s="2" t="str">
        <f>"968"</f>
        <v>968</v>
      </c>
      <c r="B971" s="2" t="s">
        <v>9</v>
      </c>
      <c r="C971" s="2" t="str">
        <f>"1 (1)"</f>
        <v>1 (1)</v>
      </c>
      <c r="D971" s="2" t="s">
        <v>3133</v>
      </c>
      <c r="E971" s="5" t="s">
        <v>3134</v>
      </c>
      <c r="F971" s="3" t="s">
        <v>3135</v>
      </c>
      <c r="G971" s="3" t="s">
        <v>3136</v>
      </c>
      <c r="H971" s="2" t="str">
        <f>"2012"</f>
        <v>2012</v>
      </c>
      <c r="I971" t="s">
        <v>14</v>
      </c>
      <c r="J971" t="s">
        <v>15</v>
      </c>
    </row>
    <row r="972" spans="1:10">
      <c r="A972" s="2" t="str">
        <f>"969"</f>
        <v>969</v>
      </c>
      <c r="B972" s="2" t="s">
        <v>9</v>
      </c>
      <c r="C972" s="2" t="str">
        <f>"1 (1)"</f>
        <v>1 (1)</v>
      </c>
      <c r="D972" s="2" t="s">
        <v>3137</v>
      </c>
      <c r="E972" s="5" t="s">
        <v>3138</v>
      </c>
      <c r="F972" s="3" t="s">
        <v>3139</v>
      </c>
      <c r="G972" s="3" t="s">
        <v>3140</v>
      </c>
      <c r="H972" s="2" t="str">
        <f>"2012"</f>
        <v>2012</v>
      </c>
      <c r="I972" t="s">
        <v>14</v>
      </c>
      <c r="J972" t="s">
        <v>15</v>
      </c>
    </row>
    <row r="973" spans="1:10">
      <c r="A973" s="2" t="str">
        <f>"970"</f>
        <v>970</v>
      </c>
      <c r="B973" s="2" t="s">
        <v>9</v>
      </c>
      <c r="C973" s="2" t="str">
        <f>"1 (1)"</f>
        <v>1 (1)</v>
      </c>
      <c r="D973" s="2" t="s">
        <v>3141</v>
      </c>
      <c r="E973" s="5" t="s">
        <v>3142</v>
      </c>
      <c r="F973" s="3" t="s">
        <v>3143</v>
      </c>
      <c r="G973" s="3" t="s">
        <v>1143</v>
      </c>
      <c r="H973" s="2" t="str">
        <f>"2000"</f>
        <v>2000</v>
      </c>
      <c r="I973" t="s">
        <v>14</v>
      </c>
      <c r="J973" t="s">
        <v>15</v>
      </c>
    </row>
    <row r="974" spans="1:10">
      <c r="A974" s="2" t="str">
        <f>"971"</f>
        <v>971</v>
      </c>
      <c r="B974" s="2" t="s">
        <v>9</v>
      </c>
      <c r="C974" s="2" t="str">
        <f>"1 (1)"</f>
        <v>1 (1)</v>
      </c>
      <c r="D974" s="2" t="s">
        <v>3144</v>
      </c>
      <c r="E974" s="5" t="s">
        <v>3145</v>
      </c>
      <c r="F974" s="3" t="s">
        <v>3146</v>
      </c>
      <c r="G974" s="3" t="s">
        <v>936</v>
      </c>
      <c r="H974" s="2" t="str">
        <f>"2012"</f>
        <v>2012</v>
      </c>
      <c r="I974" t="s">
        <v>14</v>
      </c>
      <c r="J974" t="s">
        <v>15</v>
      </c>
    </row>
    <row r="975" spans="1:10">
      <c r="A975" s="2" t="str">
        <f>"972"</f>
        <v>972</v>
      </c>
      <c r="B975" s="2" t="s">
        <v>9</v>
      </c>
      <c r="C975" s="2" t="str">
        <f>"1 (1)"</f>
        <v>1 (1)</v>
      </c>
      <c r="D975" s="2" t="s">
        <v>3147</v>
      </c>
      <c r="E975" s="5" t="s">
        <v>3148</v>
      </c>
      <c r="F975" s="3" t="s">
        <v>3149</v>
      </c>
      <c r="G975" s="3" t="s">
        <v>3150</v>
      </c>
      <c r="H975" s="2" t="str">
        <f>"2012"</f>
        <v>2012</v>
      </c>
      <c r="I975" t="s">
        <v>14</v>
      </c>
      <c r="J975" t="s">
        <v>15</v>
      </c>
    </row>
    <row r="976" spans="1:10">
      <c r="A976" s="2" t="str">
        <f>"973"</f>
        <v>973</v>
      </c>
      <c r="B976" s="2" t="s">
        <v>9</v>
      </c>
      <c r="C976" s="2" t="str">
        <f>"1 (1)"</f>
        <v>1 (1)</v>
      </c>
      <c r="D976" s="2" t="s">
        <v>3151</v>
      </c>
      <c r="E976" s="5" t="s">
        <v>3152</v>
      </c>
      <c r="F976" s="3" t="s">
        <v>3153</v>
      </c>
      <c r="G976" s="3" t="s">
        <v>3154</v>
      </c>
      <c r="H976" s="2" t="str">
        <f>"2012"</f>
        <v>2012</v>
      </c>
      <c r="I976" t="s">
        <v>14</v>
      </c>
      <c r="J976" t="s">
        <v>15</v>
      </c>
    </row>
    <row r="977" spans="1:10">
      <c r="A977" s="2" t="str">
        <f>"974"</f>
        <v>974</v>
      </c>
      <c r="B977" s="2" t="s">
        <v>9</v>
      </c>
      <c r="C977" s="2" t="str">
        <f>"1 (1)"</f>
        <v>1 (1)</v>
      </c>
      <c r="D977" s="2" t="s">
        <v>3155</v>
      </c>
      <c r="E977" s="5" t="s">
        <v>3156</v>
      </c>
      <c r="F977" s="3" t="s">
        <v>3157</v>
      </c>
      <c r="G977" s="3" t="s">
        <v>2133</v>
      </c>
      <c r="H977" s="2" t="str">
        <f>"2009"</f>
        <v>2009</v>
      </c>
      <c r="I977" t="s">
        <v>14</v>
      </c>
      <c r="J977" t="s">
        <v>15</v>
      </c>
    </row>
    <row r="978" spans="1:10">
      <c r="A978" s="2" t="str">
        <f>"975"</f>
        <v>975</v>
      </c>
      <c r="B978" s="2" t="s">
        <v>9</v>
      </c>
      <c r="C978" s="2" t="str">
        <f>"1 (1)"</f>
        <v>1 (1)</v>
      </c>
      <c r="D978" s="2" t="s">
        <v>3158</v>
      </c>
      <c r="E978" s="5" t="s">
        <v>3159</v>
      </c>
      <c r="F978" s="3" t="s">
        <v>3160</v>
      </c>
      <c r="G978" s="3" t="s">
        <v>3161</v>
      </c>
      <c r="H978" s="2" t="str">
        <f>"2012"</f>
        <v>2012</v>
      </c>
      <c r="I978" t="s">
        <v>14</v>
      </c>
      <c r="J978" t="s">
        <v>15</v>
      </c>
    </row>
    <row r="979" spans="1:10">
      <c r="A979" s="2" t="str">
        <f>"976"</f>
        <v>976</v>
      </c>
      <c r="B979" s="2" t="s">
        <v>9</v>
      </c>
      <c r="C979" s="2" t="str">
        <f>"1 (1)"</f>
        <v>1 (1)</v>
      </c>
      <c r="D979" s="2" t="s">
        <v>3162</v>
      </c>
      <c r="E979" s="5" t="s">
        <v>3163</v>
      </c>
      <c r="F979" s="3" t="s">
        <v>3164</v>
      </c>
      <c r="G979" s="3" t="s">
        <v>3165</v>
      </c>
      <c r="H979" s="2" t="str">
        <f>"2012"</f>
        <v>2012</v>
      </c>
      <c r="I979" t="s">
        <v>14</v>
      </c>
      <c r="J979" t="s">
        <v>15</v>
      </c>
    </row>
    <row r="980" spans="1:10">
      <c r="A980" s="2" t="str">
        <f>"977"</f>
        <v>977</v>
      </c>
      <c r="B980" s="2" t="s">
        <v>9</v>
      </c>
      <c r="C980" s="2" t="str">
        <f>"1 (1)"</f>
        <v>1 (1)</v>
      </c>
      <c r="D980" s="2" t="s">
        <v>3166</v>
      </c>
      <c r="E980" s="5" t="s">
        <v>3167</v>
      </c>
      <c r="F980" s="3" t="s">
        <v>3164</v>
      </c>
      <c r="G980" s="3" t="s">
        <v>3165</v>
      </c>
      <c r="H980" s="2" t="str">
        <f>"2012"</f>
        <v>2012</v>
      </c>
      <c r="I980" t="s">
        <v>14</v>
      </c>
      <c r="J980" t="s">
        <v>15</v>
      </c>
    </row>
    <row r="981" spans="1:10">
      <c r="A981" s="2" t="str">
        <f>"978"</f>
        <v>978</v>
      </c>
      <c r="B981" s="2" t="s">
        <v>9</v>
      </c>
      <c r="C981" s="2" t="str">
        <f>"1 (1)"</f>
        <v>1 (1)</v>
      </c>
      <c r="D981" s="2" t="s">
        <v>3168</v>
      </c>
      <c r="E981" s="5" t="s">
        <v>3169</v>
      </c>
      <c r="F981" s="3" t="s">
        <v>3170</v>
      </c>
      <c r="G981" s="3" t="s">
        <v>3171</v>
      </c>
      <c r="H981" s="2" t="str">
        <f>"2012"</f>
        <v>2012</v>
      </c>
      <c r="I981" t="s">
        <v>14</v>
      </c>
      <c r="J981" t="s">
        <v>15</v>
      </c>
    </row>
    <row r="982" spans="1:10">
      <c r="A982" s="2" t="str">
        <f>"979"</f>
        <v>979</v>
      </c>
      <c r="B982" s="2" t="s">
        <v>9</v>
      </c>
      <c r="C982" s="2" t="str">
        <f>"1 (1)"</f>
        <v>1 (1)</v>
      </c>
      <c r="D982" s="2" t="s">
        <v>3172</v>
      </c>
      <c r="E982" s="5" t="s">
        <v>3173</v>
      </c>
      <c r="F982" s="3" t="s">
        <v>3170</v>
      </c>
      <c r="G982" s="3" t="s">
        <v>3171</v>
      </c>
      <c r="H982" s="2" t="str">
        <f>"2012"</f>
        <v>2012</v>
      </c>
      <c r="I982" t="s">
        <v>14</v>
      </c>
      <c r="J982" t="s">
        <v>15</v>
      </c>
    </row>
    <row r="983" spans="1:10">
      <c r="A983" s="2" t="str">
        <f>"980"</f>
        <v>980</v>
      </c>
      <c r="B983" s="2" t="s">
        <v>9</v>
      </c>
      <c r="C983" s="2" t="str">
        <f>"1 (1)"</f>
        <v>1 (1)</v>
      </c>
      <c r="D983" s="2" t="s">
        <v>3174</v>
      </c>
      <c r="E983" s="5" t="s">
        <v>3175</v>
      </c>
      <c r="F983" s="3" t="s">
        <v>3170</v>
      </c>
      <c r="G983" s="3" t="s">
        <v>3171</v>
      </c>
      <c r="H983" s="2" t="str">
        <f>"2012"</f>
        <v>2012</v>
      </c>
      <c r="I983" t="s">
        <v>14</v>
      </c>
      <c r="J983" t="s">
        <v>15</v>
      </c>
    </row>
    <row r="984" spans="1:10">
      <c r="A984" s="2" t="str">
        <f>"981"</f>
        <v>981</v>
      </c>
      <c r="B984" s="2" t="s">
        <v>9</v>
      </c>
      <c r="C984" s="2" t="str">
        <f>"1 (1)"</f>
        <v>1 (1)</v>
      </c>
      <c r="D984" s="2" t="s">
        <v>3176</v>
      </c>
      <c r="E984" s="5" t="s">
        <v>3177</v>
      </c>
      <c r="F984" s="3" t="s">
        <v>3178</v>
      </c>
      <c r="G984" s="3" t="s">
        <v>3179</v>
      </c>
      <c r="H984" s="2" t="str">
        <f>"2012"</f>
        <v>2012</v>
      </c>
      <c r="I984" t="s">
        <v>14</v>
      </c>
      <c r="J984" t="s">
        <v>15</v>
      </c>
    </row>
    <row r="985" spans="1:10">
      <c r="A985" s="2" t="str">
        <f>"982"</f>
        <v>982</v>
      </c>
      <c r="B985" s="2" t="s">
        <v>9</v>
      </c>
      <c r="C985" s="2" t="str">
        <f>"1 (1)"</f>
        <v>1 (1)</v>
      </c>
      <c r="D985" s="2" t="s">
        <v>3180</v>
      </c>
      <c r="E985" s="5" t="s">
        <v>3181</v>
      </c>
      <c r="F985" s="3" t="s">
        <v>3182</v>
      </c>
      <c r="G985" s="3" t="s">
        <v>3183</v>
      </c>
      <c r="H985" s="2" t="str">
        <f>"2012"</f>
        <v>2012</v>
      </c>
      <c r="I985" t="s">
        <v>14</v>
      </c>
      <c r="J985" t="s">
        <v>15</v>
      </c>
    </row>
    <row r="986" spans="1:10">
      <c r="A986" s="2" t="str">
        <f>"983"</f>
        <v>983</v>
      </c>
      <c r="B986" s="2" t="s">
        <v>9</v>
      </c>
      <c r="C986" s="2" t="str">
        <f>"1 (1)"</f>
        <v>1 (1)</v>
      </c>
      <c r="D986" s="2" t="s">
        <v>3184</v>
      </c>
      <c r="E986" s="5" t="s">
        <v>3185</v>
      </c>
      <c r="F986" s="3" t="s">
        <v>3186</v>
      </c>
      <c r="G986" s="3" t="s">
        <v>3187</v>
      </c>
      <c r="H986" s="2" t="str">
        <f>"2012"</f>
        <v>2012</v>
      </c>
      <c r="I986" t="s">
        <v>14</v>
      </c>
      <c r="J986" t="s">
        <v>15</v>
      </c>
    </row>
    <row r="987" spans="1:10">
      <c r="A987" s="2" t="str">
        <f>"984"</f>
        <v>984</v>
      </c>
      <c r="B987" s="2" t="s">
        <v>9</v>
      </c>
      <c r="C987" s="2" t="str">
        <f>"1 (1)"</f>
        <v>1 (1)</v>
      </c>
      <c r="D987" s="2" t="s">
        <v>3188</v>
      </c>
      <c r="E987" s="5" t="s">
        <v>3189</v>
      </c>
      <c r="F987" s="3" t="s">
        <v>3190</v>
      </c>
      <c r="G987" s="3" t="s">
        <v>3191</v>
      </c>
      <c r="H987" s="2" t="str">
        <f>"2012"</f>
        <v>2012</v>
      </c>
      <c r="I987" t="s">
        <v>14</v>
      </c>
      <c r="J987" t="s">
        <v>15</v>
      </c>
    </row>
    <row r="988" spans="1:10">
      <c r="A988" s="2" t="str">
        <f>"985"</f>
        <v>985</v>
      </c>
      <c r="B988" s="2" t="s">
        <v>9</v>
      </c>
      <c r="C988" s="2" t="str">
        <f>"1 (1)"</f>
        <v>1 (1)</v>
      </c>
      <c r="D988" s="2" t="s">
        <v>3192</v>
      </c>
      <c r="E988" s="5" t="s">
        <v>3193</v>
      </c>
      <c r="F988" s="3" t="s">
        <v>3194</v>
      </c>
      <c r="G988" s="3" t="s">
        <v>2720</v>
      </c>
      <c r="H988" s="2" t="str">
        <f>"2012"</f>
        <v>2012</v>
      </c>
      <c r="I988" t="s">
        <v>14</v>
      </c>
      <c r="J988" t="s">
        <v>15</v>
      </c>
    </row>
    <row r="989" spans="1:10">
      <c r="A989" s="2" t="str">
        <f>"986"</f>
        <v>986</v>
      </c>
      <c r="B989" s="2" t="s">
        <v>9</v>
      </c>
      <c r="C989" s="2" t="str">
        <f>"1 (1)"</f>
        <v>1 (1)</v>
      </c>
      <c r="D989" s="2" t="s">
        <v>3195</v>
      </c>
      <c r="E989" s="5" t="s">
        <v>3196</v>
      </c>
      <c r="F989" s="3" t="s">
        <v>3197</v>
      </c>
      <c r="G989" s="3" t="s">
        <v>3198</v>
      </c>
      <c r="H989" s="2" t="str">
        <f>"2012"</f>
        <v>2012</v>
      </c>
      <c r="I989" t="s">
        <v>14</v>
      </c>
      <c r="J989" t="s">
        <v>15</v>
      </c>
    </row>
    <row r="990" spans="1:10">
      <c r="A990" s="2" t="str">
        <f>"987"</f>
        <v>987</v>
      </c>
      <c r="B990" s="2" t="s">
        <v>9</v>
      </c>
      <c r="C990" s="2" t="str">
        <f>"1 (1)"</f>
        <v>1 (1)</v>
      </c>
      <c r="D990" s="2" t="s">
        <v>3199</v>
      </c>
      <c r="E990" s="5" t="s">
        <v>3200</v>
      </c>
      <c r="F990" s="3" t="s">
        <v>3201</v>
      </c>
      <c r="G990" s="3" t="s">
        <v>3202</v>
      </c>
      <c r="H990" s="2" t="str">
        <f>"2012"</f>
        <v>2012</v>
      </c>
      <c r="I990" t="s">
        <v>14</v>
      </c>
      <c r="J990" t="s">
        <v>15</v>
      </c>
    </row>
    <row r="991" spans="1:10">
      <c r="A991" s="2" t="str">
        <f>"988"</f>
        <v>988</v>
      </c>
      <c r="B991" s="2" t="s">
        <v>9</v>
      </c>
      <c r="C991" s="2" t="str">
        <f>"1 (1)"</f>
        <v>1 (1)</v>
      </c>
      <c r="D991" s="2" t="s">
        <v>3203</v>
      </c>
      <c r="E991" s="5" t="s">
        <v>3204</v>
      </c>
      <c r="F991" s="3" t="s">
        <v>3205</v>
      </c>
      <c r="G991" s="3" t="s">
        <v>3050</v>
      </c>
      <c r="H991" s="2" t="str">
        <f>"2006"</f>
        <v>2006</v>
      </c>
      <c r="I991" t="s">
        <v>14</v>
      </c>
      <c r="J991" t="s">
        <v>15</v>
      </c>
    </row>
    <row r="992" spans="1:10">
      <c r="A992" s="2" t="str">
        <f>"989"</f>
        <v>989</v>
      </c>
      <c r="B992" s="2" t="s">
        <v>9</v>
      </c>
      <c r="C992" s="2" t="str">
        <f>"1 (1)"</f>
        <v>1 (1)</v>
      </c>
      <c r="D992" s="2" t="s">
        <v>3206</v>
      </c>
      <c r="E992" s="5" t="s">
        <v>3207</v>
      </c>
      <c r="F992" s="3" t="s">
        <v>3208</v>
      </c>
      <c r="G992" s="3" t="s">
        <v>3209</v>
      </c>
      <c r="H992" s="2" t="str">
        <f>"2012"</f>
        <v>2012</v>
      </c>
      <c r="I992" t="s">
        <v>14</v>
      </c>
      <c r="J992" t="s">
        <v>15</v>
      </c>
    </row>
    <row r="993" spans="1:10">
      <c r="A993" s="2" t="str">
        <f>"990"</f>
        <v>990</v>
      </c>
      <c r="B993" s="2" t="s">
        <v>9</v>
      </c>
      <c r="C993" s="2" t="str">
        <f>"1 (1)"</f>
        <v>1 (1)</v>
      </c>
      <c r="D993" s="2" t="s">
        <v>3210</v>
      </c>
      <c r="E993" s="5" t="s">
        <v>3211</v>
      </c>
      <c r="F993" s="3" t="s">
        <v>3212</v>
      </c>
      <c r="G993" s="3" t="s">
        <v>2421</v>
      </c>
      <c r="H993" s="2" t="str">
        <f>"2012"</f>
        <v>2012</v>
      </c>
      <c r="I993" t="s">
        <v>14</v>
      </c>
      <c r="J993" t="s">
        <v>15</v>
      </c>
    </row>
    <row r="994" spans="1:10">
      <c r="A994" s="2" t="str">
        <f>"991"</f>
        <v>991</v>
      </c>
      <c r="B994" s="2" t="s">
        <v>9</v>
      </c>
      <c r="C994" s="2" t="str">
        <f>"1 (1)"</f>
        <v>1 (1)</v>
      </c>
      <c r="D994" s="2" t="s">
        <v>3213</v>
      </c>
      <c r="E994" s="5" t="s">
        <v>3214</v>
      </c>
      <c r="F994" s="3" t="s">
        <v>3215</v>
      </c>
      <c r="G994" s="3" t="s">
        <v>3216</v>
      </c>
      <c r="H994" s="2" t="str">
        <f>"2012"</f>
        <v>2012</v>
      </c>
      <c r="I994" t="s">
        <v>14</v>
      </c>
      <c r="J994" t="s">
        <v>15</v>
      </c>
    </row>
    <row r="995" spans="1:10">
      <c r="A995" s="2" t="str">
        <f>"992"</f>
        <v>992</v>
      </c>
      <c r="B995" s="2" t="s">
        <v>9</v>
      </c>
      <c r="C995" s="2" t="str">
        <f>"1 (1)"</f>
        <v>1 (1)</v>
      </c>
      <c r="D995" s="2" t="s">
        <v>3217</v>
      </c>
      <c r="E995" s="5" t="s">
        <v>3218</v>
      </c>
      <c r="F995" s="3" t="s">
        <v>3219</v>
      </c>
      <c r="G995" s="3" t="s">
        <v>3220</v>
      </c>
      <c r="H995" s="2" t="str">
        <f>"2012"</f>
        <v>2012</v>
      </c>
      <c r="I995" t="s">
        <v>14</v>
      </c>
      <c r="J995" t="s">
        <v>15</v>
      </c>
    </row>
    <row r="996" spans="1:10">
      <c r="A996" s="2" t="str">
        <f>"993"</f>
        <v>993</v>
      </c>
      <c r="B996" s="2" t="s">
        <v>9</v>
      </c>
      <c r="C996" s="2" t="str">
        <f>"1 (1)"</f>
        <v>1 (1)</v>
      </c>
      <c r="D996" s="2" t="s">
        <v>3221</v>
      </c>
      <c r="E996" s="5" t="s">
        <v>3222</v>
      </c>
      <c r="F996" s="3" t="s">
        <v>3223</v>
      </c>
      <c r="G996" s="3" t="s">
        <v>3224</v>
      </c>
      <c r="H996" s="2" t="str">
        <f>"2012"</f>
        <v>2012</v>
      </c>
      <c r="I996" t="s">
        <v>14</v>
      </c>
      <c r="J996" t="s">
        <v>15</v>
      </c>
    </row>
    <row r="997" spans="1:10">
      <c r="A997" s="2" t="str">
        <f>"994"</f>
        <v>994</v>
      </c>
      <c r="B997" s="2" t="s">
        <v>9</v>
      </c>
      <c r="C997" s="2" t="str">
        <f>"1 (1)"</f>
        <v>1 (1)</v>
      </c>
      <c r="D997" s="2" t="s">
        <v>3225</v>
      </c>
      <c r="E997" s="5" t="s">
        <v>3226</v>
      </c>
      <c r="F997" s="3" t="s">
        <v>3227</v>
      </c>
      <c r="G997" s="3" t="s">
        <v>3228</v>
      </c>
      <c r="H997" s="2" t="str">
        <f>"2012"</f>
        <v>2012</v>
      </c>
      <c r="I997" t="s">
        <v>14</v>
      </c>
      <c r="J997" t="s">
        <v>15</v>
      </c>
    </row>
    <row r="998" spans="1:10">
      <c r="A998" s="2" t="str">
        <f>"995"</f>
        <v>995</v>
      </c>
      <c r="B998" s="2" t="s">
        <v>9</v>
      </c>
      <c r="C998" s="2" t="str">
        <f>"1 (1)"</f>
        <v>1 (1)</v>
      </c>
      <c r="D998" s="2" t="s">
        <v>3229</v>
      </c>
      <c r="E998" s="5" t="s">
        <v>3230</v>
      </c>
      <c r="F998" s="3" t="s">
        <v>3231</v>
      </c>
      <c r="G998" s="3" t="s">
        <v>3220</v>
      </c>
      <c r="H998" s="2" t="str">
        <f>"2012"</f>
        <v>2012</v>
      </c>
      <c r="I998" t="s">
        <v>14</v>
      </c>
      <c r="J998" t="s">
        <v>15</v>
      </c>
    </row>
    <row r="999" spans="1:10">
      <c r="A999" s="2" t="str">
        <f>"996"</f>
        <v>996</v>
      </c>
      <c r="B999" s="2" t="s">
        <v>9</v>
      </c>
      <c r="C999" s="2" t="str">
        <f>"1 (1)"</f>
        <v>1 (1)</v>
      </c>
      <c r="D999" s="2" t="s">
        <v>3232</v>
      </c>
      <c r="E999" s="5" t="s">
        <v>3233</v>
      </c>
      <c r="F999" s="3" t="s">
        <v>3234</v>
      </c>
      <c r="G999" s="3" t="s">
        <v>3235</v>
      </c>
      <c r="H999" s="2" t="str">
        <f>"2012"</f>
        <v>2012</v>
      </c>
      <c r="I999" t="s">
        <v>14</v>
      </c>
      <c r="J999" t="s">
        <v>15</v>
      </c>
    </row>
    <row r="1000" spans="1:10">
      <c r="A1000" s="2" t="str">
        <f>"997"</f>
        <v>997</v>
      </c>
      <c r="B1000" s="2" t="s">
        <v>9</v>
      </c>
      <c r="C1000" s="2" t="str">
        <f>"1 (1)"</f>
        <v>1 (1)</v>
      </c>
      <c r="D1000" s="2" t="s">
        <v>3236</v>
      </c>
      <c r="E1000" s="5" t="s">
        <v>3237</v>
      </c>
      <c r="F1000" s="3" t="s">
        <v>3234</v>
      </c>
      <c r="G1000" s="3" t="s">
        <v>3235</v>
      </c>
      <c r="H1000" s="2" t="str">
        <f>"2012"</f>
        <v>2012</v>
      </c>
      <c r="I1000" t="s">
        <v>14</v>
      </c>
      <c r="J1000" t="s">
        <v>15</v>
      </c>
    </row>
    <row r="1001" spans="1:10">
      <c r="A1001" s="2" t="str">
        <f>"998"</f>
        <v>998</v>
      </c>
      <c r="B1001" s="2" t="s">
        <v>9</v>
      </c>
      <c r="C1001" s="2" t="str">
        <f>"1 (1)"</f>
        <v>1 (1)</v>
      </c>
      <c r="D1001" s="2" t="s">
        <v>3238</v>
      </c>
      <c r="E1001" s="5" t="s">
        <v>3239</v>
      </c>
      <c r="F1001" s="3" t="s">
        <v>3240</v>
      </c>
      <c r="G1001" s="3" t="s">
        <v>1061</v>
      </c>
      <c r="H1001" s="2" t="str">
        <f>"2012"</f>
        <v>2012</v>
      </c>
      <c r="I1001" t="s">
        <v>14</v>
      </c>
      <c r="J1001" t="s">
        <v>15</v>
      </c>
    </row>
    <row r="1002" spans="1:10">
      <c r="A1002" s="2" t="str">
        <f>"999"</f>
        <v>999</v>
      </c>
      <c r="B1002" s="2" t="s">
        <v>9</v>
      </c>
      <c r="C1002" s="2" t="str">
        <f>"1 (1)"</f>
        <v>1 (1)</v>
      </c>
      <c r="D1002" s="2" t="s">
        <v>3241</v>
      </c>
      <c r="E1002" s="5" t="str">
        <f>"1, 2, 3으로 완성되는 귀여운 일러스트"</f>
        <v>1, 2, 3으로 완성되는 귀여운 일러스트</v>
      </c>
      <c r="F1002" s="3" t="s">
        <v>3242</v>
      </c>
      <c r="G1002" s="3" t="s">
        <v>3243</v>
      </c>
      <c r="H1002" s="2" t="str">
        <f>"2012"</f>
        <v>2012</v>
      </c>
      <c r="I1002" t="s">
        <v>14</v>
      </c>
      <c r="J1002" t="s">
        <v>15</v>
      </c>
    </row>
    <row r="1003" spans="1:10">
      <c r="A1003" s="2" t="str">
        <f>"1000"</f>
        <v>1000</v>
      </c>
      <c r="B1003" s="2" t="s">
        <v>9</v>
      </c>
      <c r="C1003" s="2" t="str">
        <f>"1 (1)"</f>
        <v>1 (1)</v>
      </c>
      <c r="D1003" s="2" t="s">
        <v>3244</v>
      </c>
      <c r="E1003" s="5" t="str">
        <f>"1900년 이후의 미술사  : 모더니즘 반모더니즘 포스트모더니즘"</f>
        <v>1900년 이후의 미술사  : 모더니즘 반모더니즘 포스트모더니즘</v>
      </c>
      <c r="F1003" s="3" t="s">
        <v>3245</v>
      </c>
      <c r="G1003" s="3" t="s">
        <v>3246</v>
      </c>
      <c r="H1003" s="2" t="str">
        <f>"2012"</f>
        <v>2012</v>
      </c>
      <c r="I1003" t="s">
        <v>14</v>
      </c>
      <c r="J1003" t="s">
        <v>15</v>
      </c>
    </row>
    <row r="1004" spans="1:10">
      <c r="A1004" s="2" t="str">
        <f>"1001"</f>
        <v>1001</v>
      </c>
      <c r="B1004" s="2" t="s">
        <v>9</v>
      </c>
      <c r="C1004" s="2" t="str">
        <f>"1 (1)"</f>
        <v>1 (1)</v>
      </c>
      <c r="D1004" s="2" t="s">
        <v>3247</v>
      </c>
      <c r="E1004" s="5" t="str">
        <f>"1억원대 집짓기 워너비 하우스  = Big idea low cost wannabe house  : 현실적인 건축비와 자재 내역 공개"</f>
        <v>1억원대 집짓기 워너비 하우스  = Big idea low cost wannabe house  : 현실적인 건축비와 자재 내역 공개</v>
      </c>
      <c r="F1004" s="3" t="s">
        <v>3248</v>
      </c>
      <c r="G1004" s="3" t="s">
        <v>3249</v>
      </c>
      <c r="H1004" s="2" t="str">
        <f>"2012"</f>
        <v>2012</v>
      </c>
      <c r="I1004" t="s">
        <v>14</v>
      </c>
      <c r="J1004" t="s">
        <v>15</v>
      </c>
    </row>
    <row r="1005" spans="1:10">
      <c r="A1005" s="2" t="str">
        <f>"1002"</f>
        <v>1002</v>
      </c>
      <c r="B1005" s="2" t="s">
        <v>9</v>
      </c>
      <c r="C1005" s="2" t="str">
        <f>"1 (1)"</f>
        <v>1 (1)</v>
      </c>
      <c r="D1005" s="2" t="s">
        <v>3250</v>
      </c>
      <c r="E1005" s="5" t="str">
        <f>"22억원짜리 축구공  : 2002년 4강볼이 돌아오기까지의 드라마틱한 스토리"</f>
        <v>22억원짜리 축구공  : 2002년 4강볼이 돌아오기까지의 드라마틱한 스토리</v>
      </c>
      <c r="F1005" s="3" t="s">
        <v>3251</v>
      </c>
      <c r="G1005" s="3" t="s">
        <v>3252</v>
      </c>
      <c r="H1005" s="2" t="str">
        <f>"2012"</f>
        <v>2012</v>
      </c>
      <c r="I1005" t="s">
        <v>14</v>
      </c>
      <c r="J1005" t="s">
        <v>15</v>
      </c>
    </row>
    <row r="1006" spans="1:10">
      <c r="A1006" s="2" t="str">
        <f>"1003"</f>
        <v>1003</v>
      </c>
      <c r="B1006" s="2" t="s">
        <v>9</v>
      </c>
      <c r="C1006" s="2" t="str">
        <f>"1 (1)"</f>
        <v>1 (1)</v>
      </c>
      <c r="D1006" s="2" t="s">
        <v>3253</v>
      </c>
      <c r="E1006" s="5" t="s">
        <v>3254</v>
      </c>
      <c r="F1006" s="3" t="s">
        <v>3255</v>
      </c>
      <c r="G1006" s="3" t="s">
        <v>3256</v>
      </c>
      <c r="H1006" s="2" t="str">
        <f>"2012"</f>
        <v>2012</v>
      </c>
      <c r="I1006" t="s">
        <v>14</v>
      </c>
      <c r="J1006" t="s">
        <v>15</v>
      </c>
    </row>
    <row r="1007" spans="1:10">
      <c r="A1007" s="2" t="str">
        <f>"1004"</f>
        <v>1004</v>
      </c>
      <c r="B1007" s="2" t="s">
        <v>9</v>
      </c>
      <c r="C1007" s="2" t="str">
        <f>"1 (1)"</f>
        <v>1 (1)</v>
      </c>
      <c r="D1007" s="2" t="s">
        <v>3257</v>
      </c>
      <c r="E1007" s="5" t="s">
        <v>3258</v>
      </c>
      <c r="F1007" s="3" t="s">
        <v>3259</v>
      </c>
      <c r="G1007" s="3" t="s">
        <v>3260</v>
      </c>
      <c r="H1007" s="2" t="str">
        <f>"2012"</f>
        <v>2012</v>
      </c>
      <c r="I1007" t="s">
        <v>14</v>
      </c>
      <c r="J1007" t="s">
        <v>15</v>
      </c>
    </row>
    <row r="1008" spans="1:10">
      <c r="A1008" s="2" t="str">
        <f>"1005"</f>
        <v>1005</v>
      </c>
      <c r="B1008" s="2" t="s">
        <v>9</v>
      </c>
      <c r="C1008" s="2" t="str">
        <f>"1 (1)"</f>
        <v>1 (1)</v>
      </c>
      <c r="D1008" s="2" t="s">
        <v>3261</v>
      </c>
      <c r="E1008" s="5" t="str">
        <f>"4색 수채  : 네 가지 색으로 완성하는 수채화"</f>
        <v>4색 수채  : 네 가지 색으로 완성하는 수채화</v>
      </c>
      <c r="F1008" s="3" t="s">
        <v>3262</v>
      </c>
      <c r="G1008" s="3" t="s">
        <v>2102</v>
      </c>
      <c r="H1008" s="2" t="str">
        <f>"2012"</f>
        <v>2012</v>
      </c>
      <c r="I1008" t="s">
        <v>14</v>
      </c>
      <c r="J1008" t="s">
        <v>15</v>
      </c>
    </row>
    <row r="1009" spans="1:10">
      <c r="A1009" s="2" t="str">
        <f>"1006"</f>
        <v>1006</v>
      </c>
      <c r="B1009" s="2" t="s">
        <v>9</v>
      </c>
      <c r="C1009" s="2" t="str">
        <f>"1 (1)"</f>
        <v>1 (1)</v>
      </c>
      <c r="D1009" s="2" t="s">
        <v>3263</v>
      </c>
      <c r="E1009" s="5" t="s">
        <v>3264</v>
      </c>
      <c r="F1009" s="3" t="s">
        <v>3265</v>
      </c>
      <c r="G1009" s="3" t="s">
        <v>3266</v>
      </c>
      <c r="H1009" s="2" t="str">
        <f>"2012"</f>
        <v>2012</v>
      </c>
      <c r="I1009" t="s">
        <v>14</v>
      </c>
      <c r="J1009" t="s">
        <v>15</v>
      </c>
    </row>
    <row r="1010" spans="1:10">
      <c r="A1010" s="2" t="str">
        <f>"1007"</f>
        <v>1007</v>
      </c>
      <c r="B1010" s="2" t="s">
        <v>9</v>
      </c>
      <c r="C1010" s="2" t="str">
        <f>"1 (1)"</f>
        <v>1 (1)</v>
      </c>
      <c r="D1010" s="2" t="s">
        <v>3267</v>
      </c>
      <c r="E1010" s="5" t="s">
        <v>3268</v>
      </c>
      <c r="F1010" s="3" t="s">
        <v>3269</v>
      </c>
      <c r="G1010" s="3" t="s">
        <v>3270</v>
      </c>
      <c r="H1010" s="2" t="str">
        <f>"2012"</f>
        <v>2012</v>
      </c>
      <c r="I1010" t="s">
        <v>14</v>
      </c>
      <c r="J1010" t="s">
        <v>15</v>
      </c>
    </row>
    <row r="1011" spans="1:10">
      <c r="A1011" s="2" t="str">
        <f>"1008"</f>
        <v>1008</v>
      </c>
      <c r="B1011" s="2" t="s">
        <v>9</v>
      </c>
      <c r="C1011" s="2" t="str">
        <f>"1 (1)"</f>
        <v>1 (1)</v>
      </c>
      <c r="D1011" s="2" t="s">
        <v>3271</v>
      </c>
      <c r="E1011" s="5" t="s">
        <v>3272</v>
      </c>
      <c r="F1011" s="3" t="s">
        <v>3273</v>
      </c>
      <c r="G1011" s="3" t="s">
        <v>2569</v>
      </c>
      <c r="H1011" s="2" t="str">
        <f>"2012"</f>
        <v>2012</v>
      </c>
      <c r="I1011" t="s">
        <v>14</v>
      </c>
      <c r="J1011" t="s">
        <v>15</v>
      </c>
    </row>
    <row r="1012" spans="1:10">
      <c r="A1012" s="2" t="str">
        <f>"1009"</f>
        <v>1009</v>
      </c>
      <c r="B1012" s="2" t="s">
        <v>9</v>
      </c>
      <c r="C1012" s="2" t="str">
        <f>"1 (1)"</f>
        <v>1 (1)</v>
      </c>
      <c r="D1012" s="2" t="s">
        <v>3274</v>
      </c>
      <c r="E1012" s="5" t="s">
        <v>3275</v>
      </c>
      <c r="F1012" s="3" t="s">
        <v>3276</v>
      </c>
      <c r="G1012" s="3" t="s">
        <v>3277</v>
      </c>
      <c r="H1012" s="2" t="str">
        <f>"2012"</f>
        <v>2012</v>
      </c>
      <c r="I1012" t="s">
        <v>14</v>
      </c>
      <c r="J1012" t="s">
        <v>15</v>
      </c>
    </row>
    <row r="1013" spans="1:10">
      <c r="A1013" s="2" t="str">
        <f>"1010"</f>
        <v>1010</v>
      </c>
      <c r="B1013" s="2" t="s">
        <v>9</v>
      </c>
      <c r="C1013" s="2" t="str">
        <f>"1 (1)"</f>
        <v>1 (1)</v>
      </c>
      <c r="D1013" s="2" t="s">
        <v>3278</v>
      </c>
      <c r="E1013" s="5" t="s">
        <v>3279</v>
      </c>
      <c r="F1013" s="3" t="s">
        <v>3280</v>
      </c>
      <c r="G1013" s="3" t="s">
        <v>3281</v>
      </c>
      <c r="H1013" s="2" t="str">
        <f>"2012"</f>
        <v>2012</v>
      </c>
      <c r="I1013" t="s">
        <v>14</v>
      </c>
      <c r="J1013" t="s">
        <v>15</v>
      </c>
    </row>
    <row r="1014" spans="1:10">
      <c r="A1014" s="2" t="str">
        <f>"1011"</f>
        <v>1011</v>
      </c>
      <c r="B1014" s="2" t="s">
        <v>9</v>
      </c>
      <c r="C1014" s="2" t="str">
        <f>"1 (1)"</f>
        <v>1 (1)</v>
      </c>
      <c r="D1014" s="2" t="s">
        <v>3282</v>
      </c>
      <c r="E1014" s="5" t="s">
        <v>3283</v>
      </c>
      <c r="F1014" s="3" t="s">
        <v>3284</v>
      </c>
      <c r="G1014" s="3" t="s">
        <v>3285</v>
      </c>
      <c r="H1014" s="2" t="str">
        <f>"2012"</f>
        <v>2012</v>
      </c>
      <c r="I1014" t="s">
        <v>14</v>
      </c>
      <c r="J1014" t="s">
        <v>15</v>
      </c>
    </row>
    <row r="1015" spans="1:10">
      <c r="A1015" s="2" t="str">
        <f>"1012"</f>
        <v>1012</v>
      </c>
      <c r="B1015" s="2" t="s">
        <v>9</v>
      </c>
      <c r="C1015" s="2" t="str">
        <f>"1 (1)"</f>
        <v>1 (1)</v>
      </c>
      <c r="D1015" s="2" t="s">
        <v>3286</v>
      </c>
      <c r="E1015" s="5" t="s">
        <v>3287</v>
      </c>
      <c r="F1015" s="3" t="s">
        <v>3288</v>
      </c>
      <c r="G1015" s="3" t="s">
        <v>3289</v>
      </c>
      <c r="H1015" s="2" t="str">
        <f>"2012"</f>
        <v>2012</v>
      </c>
      <c r="I1015" t="s">
        <v>14</v>
      </c>
      <c r="J1015" t="s">
        <v>15</v>
      </c>
    </row>
    <row r="1016" spans="1:10">
      <c r="A1016" s="2" t="str">
        <f>"1013"</f>
        <v>1013</v>
      </c>
      <c r="B1016" s="2" t="s">
        <v>9</v>
      </c>
      <c r="C1016" s="2" t="str">
        <f>"1 (1)"</f>
        <v>1 (1)</v>
      </c>
      <c r="D1016" s="2" t="s">
        <v>3290</v>
      </c>
      <c r="E1016" s="5" t="s">
        <v>3291</v>
      </c>
      <c r="F1016" s="3" t="s">
        <v>3292</v>
      </c>
      <c r="G1016" s="3" t="s">
        <v>3293</v>
      </c>
      <c r="H1016" s="2" t="str">
        <f>"2012"</f>
        <v>2012</v>
      </c>
      <c r="I1016" t="s">
        <v>14</v>
      </c>
      <c r="J1016" t="s">
        <v>15</v>
      </c>
    </row>
    <row r="1017" spans="1:10">
      <c r="A1017" s="2" t="str">
        <f>"1014"</f>
        <v>1014</v>
      </c>
      <c r="B1017" s="2" t="s">
        <v>9</v>
      </c>
      <c r="C1017" s="2" t="str">
        <f>"1 (1)"</f>
        <v>1 (1)</v>
      </c>
      <c r="D1017" s="2" t="s">
        <v>3294</v>
      </c>
      <c r="E1017" s="5" t="s">
        <v>3295</v>
      </c>
      <c r="F1017" s="3" t="s">
        <v>3296</v>
      </c>
      <c r="G1017" s="3" t="s">
        <v>3297</v>
      </c>
      <c r="H1017" s="2" t="str">
        <f>"2012"</f>
        <v>2012</v>
      </c>
      <c r="I1017" t="s">
        <v>14</v>
      </c>
      <c r="J1017" t="s">
        <v>15</v>
      </c>
    </row>
    <row r="1018" spans="1:10">
      <c r="A1018" s="2" t="str">
        <f>"1015"</f>
        <v>1015</v>
      </c>
      <c r="B1018" s="2" t="s">
        <v>9</v>
      </c>
      <c r="C1018" s="2" t="str">
        <f>"1 (1)"</f>
        <v>1 (1)</v>
      </c>
      <c r="D1018" s="2" t="s">
        <v>3298</v>
      </c>
      <c r="E1018" s="5" t="s">
        <v>3299</v>
      </c>
      <c r="F1018" s="3" t="s">
        <v>3300</v>
      </c>
      <c r="G1018" s="3" t="s">
        <v>3301</v>
      </c>
      <c r="H1018" s="2" t="str">
        <f>"2012"</f>
        <v>2012</v>
      </c>
      <c r="I1018" t="s">
        <v>14</v>
      </c>
      <c r="J1018" t="s">
        <v>15</v>
      </c>
    </row>
    <row r="1019" spans="1:10">
      <c r="A1019" s="2" t="str">
        <f>"1016"</f>
        <v>1016</v>
      </c>
      <c r="B1019" s="2" t="s">
        <v>9</v>
      </c>
      <c r="C1019" s="2" t="str">
        <f>"1 (1)"</f>
        <v>1 (1)</v>
      </c>
      <c r="D1019" s="2" t="s">
        <v>3302</v>
      </c>
      <c r="E1019" s="5" t="s">
        <v>3303</v>
      </c>
      <c r="F1019" s="3" t="s">
        <v>3304</v>
      </c>
      <c r="G1019" s="3" t="s">
        <v>3305</v>
      </c>
      <c r="H1019" s="2" t="str">
        <f>"2012"</f>
        <v>2012</v>
      </c>
      <c r="I1019" t="s">
        <v>14</v>
      </c>
      <c r="J1019" t="s">
        <v>15</v>
      </c>
    </row>
    <row r="1020" spans="1:10">
      <c r="A1020" s="2" t="str">
        <f>"1017"</f>
        <v>1017</v>
      </c>
      <c r="B1020" s="2" t="s">
        <v>9</v>
      </c>
      <c r="C1020" s="2" t="str">
        <f>"1 (1)"</f>
        <v>1 (1)</v>
      </c>
      <c r="D1020" s="2" t="s">
        <v>3306</v>
      </c>
      <c r="E1020" s="5" t="s">
        <v>3307</v>
      </c>
      <c r="F1020" s="3" t="s">
        <v>3308</v>
      </c>
      <c r="G1020" s="3" t="s">
        <v>3309</v>
      </c>
      <c r="H1020" s="2" t="str">
        <f>"2012"</f>
        <v>2012</v>
      </c>
      <c r="I1020" t="s">
        <v>14</v>
      </c>
      <c r="J1020" t="s">
        <v>15</v>
      </c>
    </row>
    <row r="1021" spans="1:10">
      <c r="A1021" s="2" t="str">
        <f>"1018"</f>
        <v>1018</v>
      </c>
      <c r="B1021" s="2" t="s">
        <v>9</v>
      </c>
      <c r="C1021" s="2" t="str">
        <f>"1 (1)"</f>
        <v>1 (1)</v>
      </c>
      <c r="D1021" s="2" t="s">
        <v>3310</v>
      </c>
      <c r="E1021" s="5" t="s">
        <v>3311</v>
      </c>
      <c r="F1021" s="3" t="s">
        <v>3312</v>
      </c>
      <c r="G1021" s="3" t="s">
        <v>3313</v>
      </c>
      <c r="H1021" s="2" t="str">
        <f>"2012"</f>
        <v>2012</v>
      </c>
      <c r="I1021" t="s">
        <v>14</v>
      </c>
      <c r="J1021" t="s">
        <v>15</v>
      </c>
    </row>
    <row r="1022" spans="1:10">
      <c r="A1022" s="2" t="str">
        <f>"1019"</f>
        <v>1019</v>
      </c>
      <c r="B1022" s="2" t="s">
        <v>9</v>
      </c>
      <c r="C1022" s="2" t="str">
        <f>"1 (1)"</f>
        <v>1 (1)</v>
      </c>
      <c r="D1022" s="2" t="s">
        <v>3314</v>
      </c>
      <c r="E1022" s="5" t="s">
        <v>3315</v>
      </c>
      <c r="F1022" s="3" t="s">
        <v>3316</v>
      </c>
      <c r="G1022" s="3" t="s">
        <v>3317</v>
      </c>
      <c r="H1022" s="2" t="str">
        <f>"2012"</f>
        <v>2012</v>
      </c>
      <c r="I1022" t="s">
        <v>14</v>
      </c>
      <c r="J1022" t="s">
        <v>15</v>
      </c>
    </row>
    <row r="1023" spans="1:10">
      <c r="A1023" s="2" t="str">
        <f>"1020"</f>
        <v>1020</v>
      </c>
      <c r="B1023" s="2" t="s">
        <v>9</v>
      </c>
      <c r="C1023" s="2" t="str">
        <f>"1 (1)"</f>
        <v>1 (1)</v>
      </c>
      <c r="D1023" s="2" t="s">
        <v>3318</v>
      </c>
      <c r="E1023" s="5" t="s">
        <v>3319</v>
      </c>
      <c r="F1023" s="3" t="s">
        <v>3320</v>
      </c>
      <c r="G1023" s="3" t="s">
        <v>3321</v>
      </c>
      <c r="H1023" s="2" t="str">
        <f>"2012"</f>
        <v>2012</v>
      </c>
      <c r="I1023" t="s">
        <v>14</v>
      </c>
      <c r="J1023" t="s">
        <v>15</v>
      </c>
    </row>
    <row r="1024" spans="1:10">
      <c r="A1024" s="2" t="str">
        <f>"1021"</f>
        <v>1021</v>
      </c>
      <c r="B1024" s="2" t="s">
        <v>9</v>
      </c>
      <c r="C1024" s="2" t="str">
        <f>"1 (1)"</f>
        <v>1 (1)</v>
      </c>
      <c r="D1024" s="2" t="s">
        <v>3322</v>
      </c>
      <c r="E1024" s="5" t="s">
        <v>3323</v>
      </c>
      <c r="F1024" s="3" t="s">
        <v>3324</v>
      </c>
      <c r="G1024" s="3" t="s">
        <v>2670</v>
      </c>
      <c r="H1024" s="2" t="str">
        <f>"2012"</f>
        <v>2012</v>
      </c>
      <c r="I1024" t="s">
        <v>14</v>
      </c>
      <c r="J1024" t="s">
        <v>15</v>
      </c>
    </row>
    <row r="1025" spans="1:10">
      <c r="A1025" s="2" t="str">
        <f>"1022"</f>
        <v>1022</v>
      </c>
      <c r="B1025" s="2" t="s">
        <v>9</v>
      </c>
      <c r="C1025" s="2" t="str">
        <f>"1 (1)"</f>
        <v>1 (1)</v>
      </c>
      <c r="D1025" s="2" t="s">
        <v>3325</v>
      </c>
      <c r="E1025" s="5" t="s">
        <v>3326</v>
      </c>
      <c r="F1025" s="3" t="s">
        <v>3327</v>
      </c>
      <c r="G1025" s="3" t="s">
        <v>3328</v>
      </c>
      <c r="H1025" s="2" t="str">
        <f>"2012"</f>
        <v>2012</v>
      </c>
      <c r="I1025" t="s">
        <v>14</v>
      </c>
      <c r="J1025" t="s">
        <v>15</v>
      </c>
    </row>
    <row r="1026" spans="1:10">
      <c r="A1026" s="2" t="str">
        <f>"1023"</f>
        <v>1023</v>
      </c>
      <c r="B1026" s="2" t="s">
        <v>9</v>
      </c>
      <c r="C1026" s="2" t="str">
        <f>"1 (1)"</f>
        <v>1 (1)</v>
      </c>
      <c r="D1026" s="2" t="s">
        <v>3329</v>
      </c>
      <c r="E1026" s="5" t="s">
        <v>3330</v>
      </c>
      <c r="F1026" s="3" t="s">
        <v>3331</v>
      </c>
      <c r="G1026" s="3" t="s">
        <v>2382</v>
      </c>
      <c r="H1026" s="2" t="str">
        <f>"2012"</f>
        <v>2012</v>
      </c>
      <c r="I1026" t="s">
        <v>14</v>
      </c>
      <c r="J1026" t="s">
        <v>15</v>
      </c>
    </row>
    <row r="1027" spans="1:10">
      <c r="A1027" s="2" t="str">
        <f>"1024"</f>
        <v>1024</v>
      </c>
      <c r="B1027" s="2" t="s">
        <v>9</v>
      </c>
      <c r="C1027" s="2" t="str">
        <f>"1 (1)"</f>
        <v>1 (1)</v>
      </c>
      <c r="D1027" s="2" t="s">
        <v>3332</v>
      </c>
      <c r="E1027" s="5" t="s">
        <v>3333</v>
      </c>
      <c r="F1027" s="3" t="s">
        <v>3334</v>
      </c>
      <c r="G1027" s="3" t="s">
        <v>3335</v>
      </c>
      <c r="H1027" s="2" t="str">
        <f>"2012"</f>
        <v>2012</v>
      </c>
      <c r="I1027" t="s">
        <v>14</v>
      </c>
      <c r="J1027" t="s">
        <v>15</v>
      </c>
    </row>
    <row r="1028" spans="1:10">
      <c r="A1028" s="2" t="str">
        <f>"1025"</f>
        <v>1025</v>
      </c>
      <c r="B1028" s="2" t="s">
        <v>9</v>
      </c>
      <c r="C1028" s="2" t="str">
        <f>"1 (1)"</f>
        <v>1 (1)</v>
      </c>
      <c r="D1028" s="2" t="s">
        <v>3336</v>
      </c>
      <c r="E1028" s="5" t="s">
        <v>3337</v>
      </c>
      <c r="F1028" s="3" t="s">
        <v>3338</v>
      </c>
      <c r="G1028" s="3" t="s">
        <v>3235</v>
      </c>
      <c r="H1028" s="2" t="str">
        <f>"2012"</f>
        <v>2012</v>
      </c>
      <c r="I1028" t="s">
        <v>14</v>
      </c>
      <c r="J1028" t="s">
        <v>15</v>
      </c>
    </row>
    <row r="1029" spans="1:10">
      <c r="A1029" s="2" t="str">
        <f>"1026"</f>
        <v>1026</v>
      </c>
      <c r="B1029" s="2" t="s">
        <v>9</v>
      </c>
      <c r="C1029" s="2" t="str">
        <f>"1 (1)"</f>
        <v>1 (1)</v>
      </c>
      <c r="D1029" s="2" t="s">
        <v>3339</v>
      </c>
      <c r="E1029" s="5" t="s">
        <v>3340</v>
      </c>
      <c r="F1029" s="3" t="s">
        <v>3341</v>
      </c>
      <c r="G1029" s="3" t="s">
        <v>3220</v>
      </c>
      <c r="H1029" s="2" t="str">
        <f>"2011"</f>
        <v>2011</v>
      </c>
      <c r="I1029" t="s">
        <v>14</v>
      </c>
      <c r="J1029" t="s">
        <v>15</v>
      </c>
    </row>
    <row r="1030" spans="1:10">
      <c r="A1030" s="2" t="str">
        <f>"1027"</f>
        <v>1027</v>
      </c>
      <c r="B1030" s="2" t="s">
        <v>9</v>
      </c>
      <c r="C1030" s="2" t="str">
        <f>"1 (1)"</f>
        <v>1 (1)</v>
      </c>
      <c r="D1030" s="2" t="s">
        <v>3342</v>
      </c>
      <c r="E1030" s="5" t="s">
        <v>3343</v>
      </c>
      <c r="F1030" s="3" t="s">
        <v>3344</v>
      </c>
      <c r="G1030" s="3" t="s">
        <v>2541</v>
      </c>
      <c r="H1030" s="2" t="str">
        <f>"2012"</f>
        <v>2012</v>
      </c>
      <c r="I1030" t="s">
        <v>14</v>
      </c>
      <c r="J1030" t="s">
        <v>15</v>
      </c>
    </row>
    <row r="1031" spans="1:10">
      <c r="A1031" s="2" t="str">
        <f>"1028"</f>
        <v>1028</v>
      </c>
      <c r="B1031" s="2" t="s">
        <v>9</v>
      </c>
      <c r="C1031" s="2" t="str">
        <f>"1 (1)"</f>
        <v>1 (1)</v>
      </c>
      <c r="D1031" s="2" t="s">
        <v>3345</v>
      </c>
      <c r="E1031" s="5" t="s">
        <v>3346</v>
      </c>
      <c r="F1031" s="3" t="s">
        <v>3347</v>
      </c>
      <c r="G1031" s="3" t="s">
        <v>3348</v>
      </c>
      <c r="H1031" s="2" t="str">
        <f>"2012"</f>
        <v>2012</v>
      </c>
      <c r="I1031" t="s">
        <v>14</v>
      </c>
      <c r="J1031" t="s">
        <v>15</v>
      </c>
    </row>
    <row r="1032" spans="1:10">
      <c r="A1032" s="2" t="str">
        <f>"1029"</f>
        <v>1029</v>
      </c>
      <c r="B1032" s="2" t="s">
        <v>9</v>
      </c>
      <c r="C1032" s="2" t="str">
        <f>"1 (1)"</f>
        <v>1 (1)</v>
      </c>
      <c r="D1032" s="2" t="s">
        <v>3349</v>
      </c>
      <c r="E1032" s="5" t="s">
        <v>3350</v>
      </c>
      <c r="F1032" s="3" t="s">
        <v>3351</v>
      </c>
      <c r="G1032" s="3" t="s">
        <v>3352</v>
      </c>
      <c r="H1032" s="2" t="str">
        <f>"2012"</f>
        <v>2012</v>
      </c>
      <c r="I1032" t="s">
        <v>14</v>
      </c>
      <c r="J1032" t="s">
        <v>15</v>
      </c>
    </row>
    <row r="1033" spans="1:10">
      <c r="A1033" s="2" t="str">
        <f>"1030"</f>
        <v>1030</v>
      </c>
      <c r="B1033" s="2" t="s">
        <v>9</v>
      </c>
      <c r="C1033" s="2" t="str">
        <f>"1 (1)"</f>
        <v>1 (1)</v>
      </c>
      <c r="D1033" s="2" t="s">
        <v>3353</v>
      </c>
      <c r="E1033" s="5" t="s">
        <v>3354</v>
      </c>
      <c r="F1033" s="3" t="s">
        <v>3355</v>
      </c>
      <c r="G1033" s="3" t="s">
        <v>3356</v>
      </c>
      <c r="H1033" s="2" t="str">
        <f>"2012"</f>
        <v>2012</v>
      </c>
      <c r="I1033" t="s">
        <v>14</v>
      </c>
      <c r="J1033" t="s">
        <v>15</v>
      </c>
    </row>
    <row r="1034" spans="1:10">
      <c r="A1034" s="2" t="str">
        <f>"1031"</f>
        <v>1031</v>
      </c>
      <c r="B1034" s="2" t="s">
        <v>9</v>
      </c>
      <c r="C1034" s="2" t="str">
        <f>"1 (1)"</f>
        <v>1 (1)</v>
      </c>
      <c r="D1034" s="2" t="s">
        <v>3357</v>
      </c>
      <c r="E1034" s="5" t="s">
        <v>3358</v>
      </c>
      <c r="F1034" s="3" t="s">
        <v>3359</v>
      </c>
      <c r="G1034" s="3" t="s">
        <v>3360</v>
      </c>
      <c r="H1034" s="2" t="str">
        <f>"2012"</f>
        <v>2012</v>
      </c>
      <c r="I1034" t="s">
        <v>14</v>
      </c>
      <c r="J1034" t="s">
        <v>15</v>
      </c>
    </row>
    <row r="1035" spans="1:10">
      <c r="A1035" s="2" t="str">
        <f>"1032"</f>
        <v>1032</v>
      </c>
      <c r="B1035" s="2" t="s">
        <v>9</v>
      </c>
      <c r="C1035" s="2" t="str">
        <f>"1 (1)"</f>
        <v>1 (1)</v>
      </c>
      <c r="D1035" s="2" t="s">
        <v>3361</v>
      </c>
      <c r="E1035" s="5" t="s">
        <v>3362</v>
      </c>
      <c r="F1035" s="3" t="s">
        <v>3363</v>
      </c>
      <c r="G1035" s="3" t="s">
        <v>3364</v>
      </c>
      <c r="H1035" s="2" t="str">
        <f>"2012"</f>
        <v>2012</v>
      </c>
      <c r="I1035" t="s">
        <v>14</v>
      </c>
      <c r="J1035" t="s">
        <v>15</v>
      </c>
    </row>
    <row r="1036" spans="1:10">
      <c r="A1036" s="2" t="str">
        <f>"1033"</f>
        <v>1033</v>
      </c>
      <c r="B1036" s="2" t="s">
        <v>9</v>
      </c>
      <c r="C1036" s="2" t="str">
        <f>"1 (1)"</f>
        <v>1 (1)</v>
      </c>
      <c r="D1036" s="2" t="s">
        <v>3365</v>
      </c>
      <c r="E1036" s="5" t="s">
        <v>3366</v>
      </c>
      <c r="F1036" s="3" t="s">
        <v>3367</v>
      </c>
      <c r="G1036" s="3" t="s">
        <v>3364</v>
      </c>
      <c r="H1036" s="2" t="str">
        <f>"2012"</f>
        <v>2012</v>
      </c>
      <c r="I1036" t="s">
        <v>14</v>
      </c>
      <c r="J1036" t="s">
        <v>15</v>
      </c>
    </row>
    <row r="1037" spans="1:10">
      <c r="A1037" s="2" t="str">
        <f>"1034"</f>
        <v>1034</v>
      </c>
      <c r="B1037" s="2" t="s">
        <v>9</v>
      </c>
      <c r="C1037" s="2" t="str">
        <f>"1 (1)"</f>
        <v>1 (1)</v>
      </c>
      <c r="D1037" s="2" t="s">
        <v>3368</v>
      </c>
      <c r="E1037" s="5" t="s">
        <v>3369</v>
      </c>
      <c r="F1037" s="3" t="s">
        <v>3370</v>
      </c>
      <c r="G1037" s="3" t="s">
        <v>3371</v>
      </c>
      <c r="H1037" s="2" t="str">
        <f>"2012"</f>
        <v>2012</v>
      </c>
      <c r="I1037" t="s">
        <v>14</v>
      </c>
      <c r="J1037" t="s">
        <v>15</v>
      </c>
    </row>
    <row r="1038" spans="1:10">
      <c r="A1038" s="2" t="str">
        <f>"1035"</f>
        <v>1035</v>
      </c>
      <c r="B1038" s="2" t="s">
        <v>9</v>
      </c>
      <c r="C1038" s="2" t="str">
        <f>"1 (1)"</f>
        <v>1 (1)</v>
      </c>
      <c r="D1038" s="2" t="s">
        <v>3372</v>
      </c>
      <c r="E1038" s="5" t="s">
        <v>3373</v>
      </c>
      <c r="F1038" s="3" t="s">
        <v>3374</v>
      </c>
      <c r="G1038" s="3" t="s">
        <v>3371</v>
      </c>
      <c r="H1038" s="2" t="str">
        <f>"2009"</f>
        <v>2009</v>
      </c>
      <c r="I1038" t="s">
        <v>14</v>
      </c>
      <c r="J1038" t="s">
        <v>15</v>
      </c>
    </row>
    <row r="1039" spans="1:10">
      <c r="A1039" s="2" t="str">
        <f>"1036"</f>
        <v>1036</v>
      </c>
      <c r="B1039" s="2" t="s">
        <v>9</v>
      </c>
      <c r="C1039" s="2" t="str">
        <f>"1 (1)"</f>
        <v>1 (1)</v>
      </c>
      <c r="D1039" s="2" t="s">
        <v>3375</v>
      </c>
      <c r="E1039" s="5" t="s">
        <v>3376</v>
      </c>
      <c r="F1039" s="3" t="s">
        <v>3377</v>
      </c>
      <c r="G1039" s="3" t="s">
        <v>3220</v>
      </c>
      <c r="H1039" s="2" t="str">
        <f>"2011"</f>
        <v>2011</v>
      </c>
      <c r="I1039" t="s">
        <v>14</v>
      </c>
      <c r="J1039" t="s">
        <v>15</v>
      </c>
    </row>
    <row r="1040" spans="1:10">
      <c r="A1040" s="2" t="str">
        <f>"1037"</f>
        <v>1037</v>
      </c>
      <c r="B1040" s="2" t="s">
        <v>9</v>
      </c>
      <c r="C1040" s="2" t="str">
        <f>"1 (1)"</f>
        <v>1 (1)</v>
      </c>
      <c r="D1040" s="2" t="s">
        <v>3378</v>
      </c>
      <c r="E1040" s="5" t="s">
        <v>3379</v>
      </c>
      <c r="F1040" s="3" t="s">
        <v>3377</v>
      </c>
      <c r="G1040" s="3" t="s">
        <v>3220</v>
      </c>
      <c r="H1040" s="2" t="str">
        <f>"2012"</f>
        <v>2012</v>
      </c>
      <c r="I1040" t="s">
        <v>14</v>
      </c>
      <c r="J1040" t="s">
        <v>15</v>
      </c>
    </row>
    <row r="1041" spans="1:10">
      <c r="A1041" s="2" t="str">
        <f>"1038"</f>
        <v>1038</v>
      </c>
      <c r="B1041" s="2" t="s">
        <v>9</v>
      </c>
      <c r="C1041" s="2" t="str">
        <f>"1 (1)"</f>
        <v>1 (1)</v>
      </c>
      <c r="D1041" s="2" t="s">
        <v>3380</v>
      </c>
      <c r="E1041" s="5" t="s">
        <v>3381</v>
      </c>
      <c r="F1041" s="3" t="s">
        <v>3160</v>
      </c>
      <c r="G1041" s="3" t="s">
        <v>3382</v>
      </c>
      <c r="H1041" s="2" t="str">
        <f>"2012"</f>
        <v>2012</v>
      </c>
      <c r="I1041" t="s">
        <v>14</v>
      </c>
      <c r="J1041" t="s">
        <v>15</v>
      </c>
    </row>
    <row r="1042" spans="1:10">
      <c r="A1042" s="2" t="str">
        <f>"1039"</f>
        <v>1039</v>
      </c>
      <c r="B1042" s="2" t="s">
        <v>9</v>
      </c>
      <c r="C1042" s="2" t="str">
        <f>"1 (1)"</f>
        <v>1 (1)</v>
      </c>
      <c r="D1042" s="2" t="s">
        <v>3383</v>
      </c>
      <c r="E1042" s="5" t="s">
        <v>3384</v>
      </c>
      <c r="F1042" s="3" t="s">
        <v>3385</v>
      </c>
      <c r="G1042" s="3" t="s">
        <v>3386</v>
      </c>
      <c r="H1042" s="2" t="str">
        <f>"2012"</f>
        <v>2012</v>
      </c>
      <c r="I1042" t="s">
        <v>14</v>
      </c>
      <c r="J1042" t="s">
        <v>15</v>
      </c>
    </row>
    <row r="1043" spans="1:10">
      <c r="A1043" s="2" t="str">
        <f>"1040"</f>
        <v>1040</v>
      </c>
      <c r="B1043" s="2" t="s">
        <v>9</v>
      </c>
      <c r="C1043" s="2" t="str">
        <f>"1 (1)"</f>
        <v>1 (1)</v>
      </c>
      <c r="D1043" s="2" t="s">
        <v>3387</v>
      </c>
      <c r="E1043" s="5" t="s">
        <v>3388</v>
      </c>
      <c r="F1043" s="3" t="s">
        <v>3389</v>
      </c>
      <c r="G1043" s="3" t="s">
        <v>2033</v>
      </c>
      <c r="H1043" s="2" t="str">
        <f>"2008"</f>
        <v>2008</v>
      </c>
      <c r="I1043" t="s">
        <v>14</v>
      </c>
      <c r="J1043" t="s">
        <v>15</v>
      </c>
    </row>
    <row r="1044" spans="1:10">
      <c r="A1044" s="2" t="str">
        <f>"1041"</f>
        <v>1041</v>
      </c>
      <c r="B1044" s="2" t="s">
        <v>9</v>
      </c>
      <c r="C1044" s="2" t="str">
        <f>"1 (1)"</f>
        <v>1 (1)</v>
      </c>
      <c r="D1044" s="2" t="s">
        <v>3390</v>
      </c>
      <c r="E1044" s="5" t="s">
        <v>3391</v>
      </c>
      <c r="F1044" s="3" t="s">
        <v>3392</v>
      </c>
      <c r="G1044" s="3" t="s">
        <v>3393</v>
      </c>
      <c r="H1044" s="2" t="str">
        <f>"2012"</f>
        <v>2012</v>
      </c>
      <c r="I1044" t="s">
        <v>14</v>
      </c>
      <c r="J1044" t="s">
        <v>15</v>
      </c>
    </row>
    <row r="1045" spans="1:10">
      <c r="A1045" s="2" t="str">
        <f>"1042"</f>
        <v>1042</v>
      </c>
      <c r="B1045" s="2" t="s">
        <v>9</v>
      </c>
      <c r="C1045" s="2" t="str">
        <f>"1 (1)"</f>
        <v>1 (1)</v>
      </c>
      <c r="D1045" s="2" t="s">
        <v>3394</v>
      </c>
      <c r="E1045" s="5" t="str">
        <f>"3분 아인슈타인"</f>
        <v>3분 아인슈타인</v>
      </c>
      <c r="F1045" s="3" t="s">
        <v>3395</v>
      </c>
      <c r="G1045" s="3" t="s">
        <v>2450</v>
      </c>
      <c r="H1045" s="2" t="str">
        <f>"2012"</f>
        <v>2012</v>
      </c>
      <c r="I1045" t="s">
        <v>14</v>
      </c>
      <c r="J1045" t="s">
        <v>15</v>
      </c>
    </row>
    <row r="1046" spans="1:10">
      <c r="A1046" s="2" t="str">
        <f>"1043"</f>
        <v>1043</v>
      </c>
      <c r="B1046" s="2" t="s">
        <v>9</v>
      </c>
      <c r="C1046" s="2" t="str">
        <f>"1 (1)"</f>
        <v>1 (1)</v>
      </c>
      <c r="D1046" s="2" t="s">
        <v>3396</v>
      </c>
      <c r="E1046" s="5" t="s">
        <v>3397</v>
      </c>
      <c r="F1046" s="3" t="s">
        <v>3398</v>
      </c>
      <c r="G1046" s="3" t="s">
        <v>3399</v>
      </c>
      <c r="H1046" s="2" t="str">
        <f>"2012"</f>
        <v>2012</v>
      </c>
      <c r="I1046" t="s">
        <v>14</v>
      </c>
      <c r="J1046" t="s">
        <v>15</v>
      </c>
    </row>
    <row r="1047" spans="1:10">
      <c r="A1047" s="2" t="str">
        <f>"1044"</f>
        <v>1044</v>
      </c>
      <c r="B1047" s="2" t="s">
        <v>9</v>
      </c>
      <c r="C1047" s="2" t="str">
        <f>"1 (1)"</f>
        <v>1 (1)</v>
      </c>
      <c r="D1047" s="2" t="s">
        <v>3400</v>
      </c>
      <c r="E1047" s="5" t="s">
        <v>3401</v>
      </c>
      <c r="F1047" s="3" t="s">
        <v>3402</v>
      </c>
      <c r="G1047" s="3" t="s">
        <v>3403</v>
      </c>
      <c r="H1047" s="2" t="str">
        <f>"2012"</f>
        <v>2012</v>
      </c>
      <c r="I1047" t="s">
        <v>14</v>
      </c>
      <c r="J1047" t="s">
        <v>15</v>
      </c>
    </row>
    <row r="1048" spans="1:10">
      <c r="A1048" s="2" t="str">
        <f>"1045"</f>
        <v>1045</v>
      </c>
      <c r="B1048" s="2" t="s">
        <v>9</v>
      </c>
      <c r="C1048" s="2" t="str">
        <f>"1 (1)"</f>
        <v>1 (1)</v>
      </c>
      <c r="D1048" s="2" t="s">
        <v>3404</v>
      </c>
      <c r="E1048" s="5" t="s">
        <v>3405</v>
      </c>
      <c r="F1048" s="3" t="s">
        <v>3406</v>
      </c>
      <c r="G1048" s="3" t="s">
        <v>3407</v>
      </c>
      <c r="H1048" s="2" t="str">
        <f>"2012"</f>
        <v>2012</v>
      </c>
      <c r="I1048" t="s">
        <v>14</v>
      </c>
      <c r="J1048" t="s">
        <v>15</v>
      </c>
    </row>
    <row r="1049" spans="1:10">
      <c r="A1049" s="2" t="str">
        <f>"1046"</f>
        <v>1046</v>
      </c>
      <c r="B1049" s="2" t="s">
        <v>9</v>
      </c>
      <c r="C1049" s="2" t="str">
        <f>"1 (1)"</f>
        <v>1 (1)</v>
      </c>
      <c r="D1049" s="2" t="s">
        <v>3408</v>
      </c>
      <c r="E1049" s="5" t="s">
        <v>3409</v>
      </c>
      <c r="F1049" s="3" t="s">
        <v>3410</v>
      </c>
      <c r="G1049" s="3" t="s">
        <v>3411</v>
      </c>
      <c r="H1049" s="2" t="str">
        <f>"2012"</f>
        <v>2012</v>
      </c>
      <c r="I1049" t="s">
        <v>14</v>
      </c>
      <c r="J1049" t="s">
        <v>15</v>
      </c>
    </row>
    <row r="1050" spans="1:10">
      <c r="A1050" s="2" t="str">
        <f>"1047"</f>
        <v>1047</v>
      </c>
      <c r="B1050" s="2" t="s">
        <v>9</v>
      </c>
      <c r="C1050" s="2" t="str">
        <f>"1 (1)"</f>
        <v>1 (1)</v>
      </c>
      <c r="D1050" s="2" t="s">
        <v>3412</v>
      </c>
      <c r="E1050" s="5" t="s">
        <v>3413</v>
      </c>
      <c r="F1050" s="3" t="s">
        <v>3414</v>
      </c>
      <c r="G1050" s="3" t="s">
        <v>3415</v>
      </c>
      <c r="H1050" s="2" t="str">
        <f>"2012"</f>
        <v>2012</v>
      </c>
      <c r="I1050" t="s">
        <v>14</v>
      </c>
      <c r="J1050" t="s">
        <v>15</v>
      </c>
    </row>
    <row r="1051" spans="1:10">
      <c r="A1051" s="2" t="str">
        <f>"1048"</f>
        <v>1048</v>
      </c>
      <c r="B1051" s="2" t="s">
        <v>9</v>
      </c>
      <c r="C1051" s="2" t="str">
        <f>"1 (1)"</f>
        <v>1 (1)</v>
      </c>
      <c r="D1051" s="2" t="s">
        <v>3416</v>
      </c>
      <c r="E1051" s="5" t="s">
        <v>3417</v>
      </c>
      <c r="F1051" s="3" t="s">
        <v>3418</v>
      </c>
      <c r="G1051" s="3" t="s">
        <v>3419</v>
      </c>
      <c r="H1051" s="2" t="str">
        <f>"2012"</f>
        <v>2012</v>
      </c>
      <c r="I1051" t="s">
        <v>14</v>
      </c>
      <c r="J1051" t="s">
        <v>15</v>
      </c>
    </row>
    <row r="1052" spans="1:10">
      <c r="A1052" s="2" t="str">
        <f>"1049"</f>
        <v>1049</v>
      </c>
      <c r="B1052" s="2" t="s">
        <v>9</v>
      </c>
      <c r="C1052" s="2" t="str">
        <f>"1 (1)"</f>
        <v>1 (1)</v>
      </c>
      <c r="D1052" s="2" t="s">
        <v>3420</v>
      </c>
      <c r="E1052" s="5" t="s">
        <v>3421</v>
      </c>
      <c r="F1052" s="3" t="s">
        <v>3422</v>
      </c>
      <c r="G1052" s="3" t="s">
        <v>3423</v>
      </c>
      <c r="H1052" s="2" t="str">
        <f>"2012"</f>
        <v>2012</v>
      </c>
      <c r="I1052" t="s">
        <v>14</v>
      </c>
      <c r="J1052" t="s">
        <v>15</v>
      </c>
    </row>
    <row r="1053" spans="1:10">
      <c r="A1053" s="2" t="str">
        <f>"1050"</f>
        <v>1050</v>
      </c>
      <c r="B1053" s="2" t="s">
        <v>9</v>
      </c>
      <c r="C1053" s="2" t="str">
        <f>"1 (1)"</f>
        <v>1 (1)</v>
      </c>
      <c r="D1053" s="2" t="s">
        <v>3424</v>
      </c>
      <c r="E1053" s="5" t="s">
        <v>3425</v>
      </c>
      <c r="F1053" s="3" t="s">
        <v>3426</v>
      </c>
      <c r="G1053" s="3" t="s">
        <v>2961</v>
      </c>
      <c r="H1053" s="2" t="str">
        <f>"2012"</f>
        <v>2012</v>
      </c>
      <c r="I1053" t="s">
        <v>14</v>
      </c>
      <c r="J1053" t="s">
        <v>15</v>
      </c>
    </row>
    <row r="1054" spans="1:10">
      <c r="A1054" s="2" t="str">
        <f>"1051"</f>
        <v>1051</v>
      </c>
      <c r="B1054" s="2" t="s">
        <v>9</v>
      </c>
      <c r="C1054" s="2" t="str">
        <f>"1 (1)"</f>
        <v>1 (1)</v>
      </c>
      <c r="D1054" s="2" t="s">
        <v>3427</v>
      </c>
      <c r="E1054" s="5" t="s">
        <v>3428</v>
      </c>
      <c r="F1054" s="3" t="s">
        <v>3429</v>
      </c>
      <c r="G1054" s="3" t="s">
        <v>1937</v>
      </c>
      <c r="H1054" s="2" t="str">
        <f>"2012"</f>
        <v>2012</v>
      </c>
      <c r="I1054" t="s">
        <v>14</v>
      </c>
      <c r="J1054" t="s">
        <v>15</v>
      </c>
    </row>
    <row r="1055" spans="1:10">
      <c r="A1055" s="2" t="str">
        <f>"1052"</f>
        <v>1052</v>
      </c>
      <c r="B1055" s="2" t="s">
        <v>9</v>
      </c>
      <c r="C1055" s="2" t="str">
        <f>"1 (1)"</f>
        <v>1 (1)</v>
      </c>
      <c r="D1055" s="2" t="s">
        <v>3430</v>
      </c>
      <c r="E1055" s="5" t="s">
        <v>3431</v>
      </c>
      <c r="F1055" s="3" t="s">
        <v>3432</v>
      </c>
      <c r="G1055" s="3" t="s">
        <v>876</v>
      </c>
      <c r="H1055" s="2" t="str">
        <f>"2007"</f>
        <v>2007</v>
      </c>
      <c r="I1055" t="s">
        <v>14</v>
      </c>
      <c r="J1055" t="s">
        <v>15</v>
      </c>
    </row>
    <row r="1056" spans="1:10">
      <c r="A1056" s="2" t="str">
        <f>"1053"</f>
        <v>1053</v>
      </c>
      <c r="B1056" s="2" t="s">
        <v>9</v>
      </c>
      <c r="C1056" s="2" t="str">
        <f>"1 (1)"</f>
        <v>1 (1)</v>
      </c>
      <c r="D1056" s="2" t="s">
        <v>3433</v>
      </c>
      <c r="E1056" s="5" t="s">
        <v>3434</v>
      </c>
      <c r="F1056" s="3" t="s">
        <v>3435</v>
      </c>
      <c r="G1056" s="3" t="s">
        <v>3436</v>
      </c>
      <c r="H1056" s="2" t="str">
        <f>"2010"</f>
        <v>2010</v>
      </c>
      <c r="I1056" t="s">
        <v>14</v>
      </c>
      <c r="J1056" t="s">
        <v>15</v>
      </c>
    </row>
    <row r="1057" spans="1:10">
      <c r="A1057" s="2" t="str">
        <f>"1054"</f>
        <v>1054</v>
      </c>
      <c r="B1057" s="2" t="s">
        <v>9</v>
      </c>
      <c r="C1057" s="2" t="str">
        <f>"1 (1)"</f>
        <v>1 (1)</v>
      </c>
      <c r="D1057" s="2" t="s">
        <v>3437</v>
      </c>
      <c r="E1057" s="5" t="s">
        <v>3438</v>
      </c>
      <c r="F1057" s="3" t="s">
        <v>3439</v>
      </c>
      <c r="G1057" s="3" t="s">
        <v>3440</v>
      </c>
      <c r="H1057" s="2" t="str">
        <f>"2011"</f>
        <v>2011</v>
      </c>
      <c r="I1057" t="s">
        <v>14</v>
      </c>
      <c r="J1057" t="s">
        <v>15</v>
      </c>
    </row>
    <row r="1058" spans="1:10">
      <c r="A1058" s="2" t="str">
        <f>"1055"</f>
        <v>1055</v>
      </c>
      <c r="B1058" s="2" t="s">
        <v>9</v>
      </c>
      <c r="C1058" s="2" t="str">
        <f>"1 (1)"</f>
        <v>1 (1)</v>
      </c>
      <c r="D1058" s="2" t="s">
        <v>3441</v>
      </c>
      <c r="E1058" s="5" t="s">
        <v>3442</v>
      </c>
      <c r="F1058" s="3" t="s">
        <v>3443</v>
      </c>
      <c r="G1058" s="3" t="s">
        <v>3444</v>
      </c>
      <c r="H1058" s="2" t="str">
        <f>"2012"</f>
        <v>2012</v>
      </c>
      <c r="I1058" t="s">
        <v>14</v>
      </c>
      <c r="J1058" t="s">
        <v>15</v>
      </c>
    </row>
    <row r="1059" spans="1:10">
      <c r="A1059" s="2" t="str">
        <f>"1056"</f>
        <v>1056</v>
      </c>
      <c r="B1059" s="2" t="s">
        <v>9</v>
      </c>
      <c r="C1059" s="2" t="str">
        <f>"1 (1)"</f>
        <v>1 (1)</v>
      </c>
      <c r="D1059" s="2" t="s">
        <v>3445</v>
      </c>
      <c r="E1059" s="5" t="s">
        <v>3446</v>
      </c>
      <c r="F1059" s="3" t="s">
        <v>3447</v>
      </c>
      <c r="G1059" s="3" t="s">
        <v>3165</v>
      </c>
      <c r="H1059" s="2" t="str">
        <f>"2012"</f>
        <v>2012</v>
      </c>
      <c r="I1059" t="s">
        <v>14</v>
      </c>
      <c r="J1059" t="s">
        <v>15</v>
      </c>
    </row>
    <row r="1060" spans="1:10">
      <c r="A1060" s="2" t="str">
        <f>"1057"</f>
        <v>1057</v>
      </c>
      <c r="B1060" s="2" t="s">
        <v>9</v>
      </c>
      <c r="C1060" s="2" t="str">
        <f>"1 (1)"</f>
        <v>1 (1)</v>
      </c>
      <c r="D1060" s="2" t="s">
        <v>3448</v>
      </c>
      <c r="E1060" s="5" t="s">
        <v>3449</v>
      </c>
      <c r="F1060" s="3" t="s">
        <v>3450</v>
      </c>
      <c r="G1060" s="3" t="s">
        <v>3451</v>
      </c>
      <c r="H1060" s="2" t="str">
        <f>"2012"</f>
        <v>2012</v>
      </c>
      <c r="I1060" t="s">
        <v>14</v>
      </c>
      <c r="J1060" t="s">
        <v>15</v>
      </c>
    </row>
    <row r="1061" spans="1:10">
      <c r="A1061" s="2" t="str">
        <f>"1058"</f>
        <v>1058</v>
      </c>
      <c r="B1061" s="2" t="s">
        <v>9</v>
      </c>
      <c r="C1061" s="2" t="str">
        <f>"1 (1)"</f>
        <v>1 (1)</v>
      </c>
      <c r="D1061" s="2" t="s">
        <v>3452</v>
      </c>
      <c r="E1061" s="5" t="s">
        <v>3453</v>
      </c>
      <c r="F1061" s="3" t="s">
        <v>3454</v>
      </c>
      <c r="G1061" s="3" t="s">
        <v>3455</v>
      </c>
      <c r="H1061" s="2" t="str">
        <f>"2012"</f>
        <v>2012</v>
      </c>
      <c r="I1061" t="s">
        <v>14</v>
      </c>
      <c r="J1061" t="s">
        <v>15</v>
      </c>
    </row>
    <row r="1062" spans="1:10">
      <c r="A1062" s="2" t="str">
        <f>"1059"</f>
        <v>1059</v>
      </c>
      <c r="B1062" s="2" t="s">
        <v>9</v>
      </c>
      <c r="C1062" s="2" t="str">
        <f>"1 (1)"</f>
        <v>1 (1)</v>
      </c>
      <c r="D1062" s="2" t="s">
        <v>3456</v>
      </c>
      <c r="E1062" s="5" t="s">
        <v>3457</v>
      </c>
      <c r="F1062" s="3" t="s">
        <v>3458</v>
      </c>
      <c r="G1062" s="3" t="s">
        <v>1231</v>
      </c>
      <c r="H1062" s="2" t="str">
        <f>"2012"</f>
        <v>2012</v>
      </c>
      <c r="I1062" t="s">
        <v>14</v>
      </c>
      <c r="J1062" t="s">
        <v>15</v>
      </c>
    </row>
    <row r="1063" spans="1:10">
      <c r="A1063" s="2" t="str">
        <f>"1060"</f>
        <v>1060</v>
      </c>
      <c r="B1063" s="2" t="s">
        <v>9</v>
      </c>
      <c r="C1063" s="2" t="str">
        <f>"1 (1)"</f>
        <v>1 (1)</v>
      </c>
      <c r="D1063" s="2" t="s">
        <v>3459</v>
      </c>
      <c r="E1063" s="5" t="s">
        <v>3460</v>
      </c>
      <c r="F1063" s="3" t="s">
        <v>3461</v>
      </c>
      <c r="G1063" s="3" t="s">
        <v>2766</v>
      </c>
      <c r="H1063" s="2" t="str">
        <f>"2012"</f>
        <v>2012</v>
      </c>
      <c r="I1063" t="s">
        <v>14</v>
      </c>
      <c r="J1063" t="s">
        <v>15</v>
      </c>
    </row>
    <row r="1064" spans="1:10">
      <c r="A1064" s="2" t="str">
        <f>"1061"</f>
        <v>1061</v>
      </c>
      <c r="B1064" s="2" t="s">
        <v>9</v>
      </c>
      <c r="C1064" s="2" t="str">
        <f>"1 (1)"</f>
        <v>1 (1)</v>
      </c>
      <c r="D1064" s="2" t="s">
        <v>3462</v>
      </c>
      <c r="E1064" s="5" t="s">
        <v>3463</v>
      </c>
      <c r="F1064" s="3" t="s">
        <v>3464</v>
      </c>
      <c r="G1064" s="3" t="s">
        <v>3465</v>
      </c>
      <c r="H1064" s="2" t="str">
        <f>"2012"</f>
        <v>2012</v>
      </c>
      <c r="I1064" t="s">
        <v>14</v>
      </c>
      <c r="J1064" t="s">
        <v>15</v>
      </c>
    </row>
    <row r="1065" spans="1:10">
      <c r="A1065" s="2" t="str">
        <f>"1062"</f>
        <v>1062</v>
      </c>
      <c r="B1065" s="2" t="s">
        <v>9</v>
      </c>
      <c r="C1065" s="2" t="str">
        <f>"1 (1)"</f>
        <v>1 (1)</v>
      </c>
      <c r="D1065" s="2" t="s">
        <v>3466</v>
      </c>
      <c r="E1065" s="5" t="s">
        <v>3467</v>
      </c>
      <c r="F1065" s="3" t="s">
        <v>3468</v>
      </c>
      <c r="G1065" s="3" t="s">
        <v>3469</v>
      </c>
      <c r="H1065" s="2" t="str">
        <f>"2012"</f>
        <v>2012</v>
      </c>
      <c r="I1065" t="s">
        <v>14</v>
      </c>
      <c r="J1065" t="s">
        <v>15</v>
      </c>
    </row>
    <row r="1066" spans="1:10">
      <c r="A1066" s="2" t="str">
        <f>"1063"</f>
        <v>1063</v>
      </c>
      <c r="B1066" s="2" t="s">
        <v>9</v>
      </c>
      <c r="C1066" s="2" t="str">
        <f>"1 (1)"</f>
        <v>1 (1)</v>
      </c>
      <c r="D1066" s="2" t="s">
        <v>3470</v>
      </c>
      <c r="E1066" s="5" t="s">
        <v>3471</v>
      </c>
      <c r="F1066" s="3" t="s">
        <v>3472</v>
      </c>
      <c r="G1066" s="3" t="s">
        <v>3473</v>
      </c>
      <c r="H1066" s="2" t="str">
        <f>"2012"</f>
        <v>2012</v>
      </c>
      <c r="I1066" t="s">
        <v>14</v>
      </c>
      <c r="J1066" t="s">
        <v>15</v>
      </c>
    </row>
    <row r="1067" spans="1:10">
      <c r="A1067" s="2" t="str">
        <f>"1064"</f>
        <v>1064</v>
      </c>
      <c r="B1067" s="2" t="s">
        <v>9</v>
      </c>
      <c r="C1067" s="2" t="str">
        <f>"1 (1)"</f>
        <v>1 (1)</v>
      </c>
      <c r="D1067" s="2" t="s">
        <v>3474</v>
      </c>
      <c r="E1067" s="5" t="s">
        <v>3475</v>
      </c>
      <c r="F1067" s="3" t="s">
        <v>3476</v>
      </c>
      <c r="G1067" s="3" t="s">
        <v>3477</v>
      </c>
      <c r="H1067" s="2" t="str">
        <f>"2012"</f>
        <v>2012</v>
      </c>
      <c r="I1067" t="s">
        <v>14</v>
      </c>
      <c r="J1067" t="s">
        <v>15</v>
      </c>
    </row>
    <row r="1068" spans="1:10">
      <c r="A1068" s="2" t="str">
        <f>"1065"</f>
        <v>1065</v>
      </c>
      <c r="B1068" s="2" t="s">
        <v>9</v>
      </c>
      <c r="C1068" s="2" t="str">
        <f>"1 (1)"</f>
        <v>1 (1)</v>
      </c>
      <c r="D1068" s="2" t="s">
        <v>3478</v>
      </c>
      <c r="E1068" s="5" t="s">
        <v>3479</v>
      </c>
      <c r="F1068" s="3" t="s">
        <v>3480</v>
      </c>
      <c r="G1068" s="3" t="s">
        <v>3393</v>
      </c>
      <c r="H1068" s="2" t="str">
        <f>"2012"</f>
        <v>2012</v>
      </c>
      <c r="I1068" t="s">
        <v>14</v>
      </c>
      <c r="J1068" t="s">
        <v>15</v>
      </c>
    </row>
    <row r="1069" spans="1:10">
      <c r="A1069" s="2" t="str">
        <f>"1066"</f>
        <v>1066</v>
      </c>
      <c r="B1069" s="2" t="s">
        <v>9</v>
      </c>
      <c r="C1069" s="2" t="str">
        <f>"1 (1)"</f>
        <v>1 (1)</v>
      </c>
      <c r="D1069" s="2" t="s">
        <v>3481</v>
      </c>
      <c r="E1069" s="5" t="s">
        <v>3482</v>
      </c>
      <c r="F1069" s="3" t="s">
        <v>3483</v>
      </c>
      <c r="G1069" s="3" t="s">
        <v>3012</v>
      </c>
      <c r="H1069" s="2" t="str">
        <f>"2012"</f>
        <v>2012</v>
      </c>
      <c r="I1069" t="s">
        <v>14</v>
      </c>
      <c r="J1069" t="s">
        <v>15</v>
      </c>
    </row>
    <row r="1070" spans="1:10">
      <c r="A1070" s="2" t="str">
        <f>"1067"</f>
        <v>1067</v>
      </c>
      <c r="B1070" s="2" t="s">
        <v>9</v>
      </c>
      <c r="C1070" s="2" t="str">
        <f>"1 (1)"</f>
        <v>1 (1)</v>
      </c>
      <c r="D1070" s="2" t="s">
        <v>3484</v>
      </c>
      <c r="E1070" s="5" t="s">
        <v>3485</v>
      </c>
      <c r="F1070" s="3" t="s">
        <v>3486</v>
      </c>
      <c r="G1070" s="3" t="s">
        <v>3487</v>
      </c>
      <c r="H1070" s="2" t="str">
        <f>"2012"</f>
        <v>2012</v>
      </c>
      <c r="I1070" t="s">
        <v>14</v>
      </c>
      <c r="J1070" t="s">
        <v>15</v>
      </c>
    </row>
    <row r="1071" spans="1:10">
      <c r="A1071" s="2" t="str">
        <f>"1068"</f>
        <v>1068</v>
      </c>
      <c r="B1071" s="2" t="s">
        <v>9</v>
      </c>
      <c r="C1071" s="2" t="str">
        <f>"1 (1)"</f>
        <v>1 (1)</v>
      </c>
      <c r="D1071" s="2" t="s">
        <v>3488</v>
      </c>
      <c r="E1071" s="5" t="s">
        <v>3489</v>
      </c>
      <c r="F1071" s="3" t="s">
        <v>3490</v>
      </c>
      <c r="G1071" s="3" t="s">
        <v>3440</v>
      </c>
      <c r="H1071" s="2" t="str">
        <f>"2011"</f>
        <v>2011</v>
      </c>
      <c r="I1071" t="s">
        <v>14</v>
      </c>
      <c r="J1071" t="s">
        <v>15</v>
      </c>
    </row>
    <row r="1072" spans="1:10">
      <c r="A1072" s="2" t="str">
        <f>"1069"</f>
        <v>1069</v>
      </c>
      <c r="B1072" s="2" t="s">
        <v>9</v>
      </c>
      <c r="C1072" s="2" t="str">
        <f>"1 (1)"</f>
        <v>1 (1)</v>
      </c>
      <c r="D1072" s="2" t="s">
        <v>3491</v>
      </c>
      <c r="E1072" s="5" t="s">
        <v>3492</v>
      </c>
      <c r="F1072" s="3" t="s">
        <v>3493</v>
      </c>
      <c r="G1072" s="3" t="s">
        <v>3440</v>
      </c>
      <c r="H1072" s="2" t="str">
        <f>"2012"</f>
        <v>2012</v>
      </c>
      <c r="I1072" t="s">
        <v>14</v>
      </c>
      <c r="J1072" t="s">
        <v>15</v>
      </c>
    </row>
    <row r="1073" spans="1:10">
      <c r="A1073" s="2" t="str">
        <f>"1070"</f>
        <v>1070</v>
      </c>
      <c r="B1073" s="2" t="s">
        <v>9</v>
      </c>
      <c r="C1073" s="2" t="str">
        <f>"1 (1)"</f>
        <v>1 (1)</v>
      </c>
      <c r="D1073" s="2" t="s">
        <v>3494</v>
      </c>
      <c r="E1073" s="5" t="s">
        <v>3495</v>
      </c>
      <c r="F1073" s="3" t="s">
        <v>3496</v>
      </c>
      <c r="G1073" s="3" t="s">
        <v>3497</v>
      </c>
      <c r="H1073" s="2" t="str">
        <f>"2012"</f>
        <v>2012</v>
      </c>
      <c r="I1073" t="s">
        <v>14</v>
      </c>
      <c r="J1073" t="s">
        <v>15</v>
      </c>
    </row>
    <row r="1074" spans="1:10">
      <c r="A1074" s="2" t="str">
        <f>"1071"</f>
        <v>1071</v>
      </c>
      <c r="B1074" s="2" t="s">
        <v>9</v>
      </c>
      <c r="C1074" s="2" t="str">
        <f>"1 (1)"</f>
        <v>1 (1)</v>
      </c>
      <c r="D1074" s="2" t="s">
        <v>3498</v>
      </c>
      <c r="E1074" s="5" t="s">
        <v>3499</v>
      </c>
      <c r="F1074" s="3" t="s">
        <v>3500</v>
      </c>
      <c r="G1074" s="3" t="s">
        <v>2803</v>
      </c>
      <c r="H1074" s="2" t="str">
        <f>"2012"</f>
        <v>2012</v>
      </c>
      <c r="I1074" t="s">
        <v>14</v>
      </c>
      <c r="J1074" t="s">
        <v>15</v>
      </c>
    </row>
    <row r="1075" spans="1:10">
      <c r="A1075" s="2" t="str">
        <f>"1072"</f>
        <v>1072</v>
      </c>
      <c r="B1075" s="2" t="s">
        <v>9</v>
      </c>
      <c r="C1075" s="2" t="str">
        <f>"1 (1)"</f>
        <v>1 (1)</v>
      </c>
      <c r="D1075" s="2" t="s">
        <v>3501</v>
      </c>
      <c r="E1075" s="5" t="s">
        <v>3502</v>
      </c>
      <c r="F1075" s="3" t="s">
        <v>3503</v>
      </c>
      <c r="G1075" s="3" t="s">
        <v>3504</v>
      </c>
      <c r="H1075" s="2" t="str">
        <f>"2012"</f>
        <v>2012</v>
      </c>
      <c r="I1075" t="s">
        <v>14</v>
      </c>
      <c r="J1075" t="s">
        <v>15</v>
      </c>
    </row>
    <row r="1076" spans="1:10">
      <c r="A1076" s="2" t="str">
        <f>"1073"</f>
        <v>1073</v>
      </c>
      <c r="B1076" s="2" t="s">
        <v>9</v>
      </c>
      <c r="C1076" s="2" t="str">
        <f>"1 (1)"</f>
        <v>1 (1)</v>
      </c>
      <c r="D1076" s="2" t="s">
        <v>3505</v>
      </c>
      <c r="E1076" s="5" t="s">
        <v>3502</v>
      </c>
      <c r="F1076" s="3" t="s">
        <v>3503</v>
      </c>
      <c r="G1076" s="3" t="s">
        <v>3504</v>
      </c>
      <c r="H1076" s="2" t="str">
        <f>"2012"</f>
        <v>2012</v>
      </c>
      <c r="I1076" t="s">
        <v>14</v>
      </c>
      <c r="J1076" t="s">
        <v>15</v>
      </c>
    </row>
    <row r="1077" spans="1:10">
      <c r="A1077" s="2" t="str">
        <f>"1074"</f>
        <v>1074</v>
      </c>
      <c r="B1077" s="2" t="s">
        <v>9</v>
      </c>
      <c r="C1077" s="2" t="str">
        <f>"1 (1)"</f>
        <v>1 (1)</v>
      </c>
      <c r="D1077" s="2" t="s">
        <v>3506</v>
      </c>
      <c r="E1077" s="5" t="s">
        <v>3507</v>
      </c>
      <c r="F1077" s="3" t="s">
        <v>3508</v>
      </c>
      <c r="G1077" s="3" t="s">
        <v>3509</v>
      </c>
      <c r="H1077" s="2" t="str">
        <f>"2012"</f>
        <v>2012</v>
      </c>
      <c r="I1077" t="s">
        <v>14</v>
      </c>
      <c r="J1077" t="s">
        <v>15</v>
      </c>
    </row>
    <row r="1078" spans="1:10">
      <c r="A1078" s="2" t="str">
        <f>"1075"</f>
        <v>1075</v>
      </c>
      <c r="B1078" s="2" t="s">
        <v>9</v>
      </c>
      <c r="C1078" s="2" t="str">
        <f>"1 (1)"</f>
        <v>1 (1)</v>
      </c>
      <c r="D1078" s="2" t="s">
        <v>3510</v>
      </c>
      <c r="E1078" s="5" t="s">
        <v>3511</v>
      </c>
      <c r="F1078" s="3" t="s">
        <v>3512</v>
      </c>
      <c r="G1078" s="3" t="s">
        <v>3386</v>
      </c>
      <c r="H1078" s="2" t="str">
        <f>"2012"</f>
        <v>2012</v>
      </c>
      <c r="I1078" t="s">
        <v>14</v>
      </c>
      <c r="J1078" t="s">
        <v>15</v>
      </c>
    </row>
    <row r="1079" spans="1:10">
      <c r="A1079" s="2" t="str">
        <f>"1076"</f>
        <v>1076</v>
      </c>
      <c r="B1079" s="2" t="s">
        <v>9</v>
      </c>
      <c r="C1079" s="2" t="str">
        <f>"1 (1)"</f>
        <v>1 (1)</v>
      </c>
      <c r="D1079" s="2" t="s">
        <v>3513</v>
      </c>
      <c r="E1079" s="5" t="s">
        <v>3514</v>
      </c>
      <c r="F1079" s="3" t="s">
        <v>3515</v>
      </c>
      <c r="G1079" s="3" t="s">
        <v>3516</v>
      </c>
      <c r="H1079" s="2" t="str">
        <f>"2012"</f>
        <v>2012</v>
      </c>
      <c r="I1079" t="s">
        <v>14</v>
      </c>
      <c r="J1079" t="s">
        <v>15</v>
      </c>
    </row>
    <row r="1080" spans="1:10">
      <c r="A1080" s="2" t="str">
        <f>"1077"</f>
        <v>1077</v>
      </c>
      <c r="B1080" s="2" t="s">
        <v>9</v>
      </c>
      <c r="C1080" s="2" t="str">
        <f>"1 (1)"</f>
        <v>1 (1)</v>
      </c>
      <c r="D1080" s="2" t="s">
        <v>3517</v>
      </c>
      <c r="E1080" s="5" t="s">
        <v>3518</v>
      </c>
      <c r="F1080" s="3" t="s">
        <v>3519</v>
      </c>
      <c r="G1080" s="3" t="s">
        <v>3520</v>
      </c>
      <c r="H1080" s="2" t="str">
        <f>"2012"</f>
        <v>2012</v>
      </c>
      <c r="I1080" t="s">
        <v>14</v>
      </c>
      <c r="J1080" t="s">
        <v>15</v>
      </c>
    </row>
    <row r="1081" spans="1:10">
      <c r="A1081" s="2" t="str">
        <f>"1078"</f>
        <v>1078</v>
      </c>
      <c r="B1081" s="2" t="s">
        <v>9</v>
      </c>
      <c r="C1081" s="2" t="str">
        <f>"1 (1)"</f>
        <v>1 (1)</v>
      </c>
      <c r="D1081" s="2" t="s">
        <v>3521</v>
      </c>
      <c r="E1081" s="5" t="s">
        <v>3522</v>
      </c>
      <c r="F1081" s="3" t="s">
        <v>3523</v>
      </c>
      <c r="G1081" s="3" t="s">
        <v>3524</v>
      </c>
      <c r="H1081" s="2" t="str">
        <f>"2012"</f>
        <v>2012</v>
      </c>
      <c r="I1081" t="s">
        <v>14</v>
      </c>
      <c r="J1081" t="s">
        <v>15</v>
      </c>
    </row>
    <row r="1082" spans="1:10">
      <c r="A1082" s="2" t="str">
        <f>"1079"</f>
        <v>1079</v>
      </c>
      <c r="B1082" s="2" t="s">
        <v>9</v>
      </c>
      <c r="C1082" s="2" t="str">
        <f>"1 (1)"</f>
        <v>1 (1)</v>
      </c>
      <c r="D1082" s="2" t="s">
        <v>3525</v>
      </c>
      <c r="E1082" s="5" t="s">
        <v>3526</v>
      </c>
      <c r="F1082" s="3" t="s">
        <v>3439</v>
      </c>
      <c r="G1082" s="3" t="s">
        <v>3440</v>
      </c>
      <c r="H1082" s="2" t="str">
        <f>"2012"</f>
        <v>2012</v>
      </c>
      <c r="I1082" t="s">
        <v>14</v>
      </c>
      <c r="J1082" t="s">
        <v>15</v>
      </c>
    </row>
    <row r="1083" spans="1:10">
      <c r="A1083" s="2" t="str">
        <f>"1080"</f>
        <v>1080</v>
      </c>
      <c r="B1083" s="2" t="s">
        <v>9</v>
      </c>
      <c r="C1083" s="2" t="str">
        <f>"1 (1)"</f>
        <v>1 (1)</v>
      </c>
      <c r="D1083" s="2" t="s">
        <v>3527</v>
      </c>
      <c r="E1083" s="5" t="s">
        <v>3528</v>
      </c>
      <c r="F1083" s="3" t="s">
        <v>3529</v>
      </c>
      <c r="G1083" s="3" t="s">
        <v>3530</v>
      </c>
      <c r="H1083" s="2" t="str">
        <f>"2012"</f>
        <v>2012</v>
      </c>
      <c r="I1083" t="s">
        <v>14</v>
      </c>
      <c r="J1083" t="s">
        <v>15</v>
      </c>
    </row>
    <row r="1084" spans="1:10">
      <c r="A1084" s="2" t="str">
        <f>"1081"</f>
        <v>1081</v>
      </c>
      <c r="B1084" s="2" t="s">
        <v>9</v>
      </c>
      <c r="C1084" s="2" t="str">
        <f>"1 (1)"</f>
        <v>1 (1)</v>
      </c>
      <c r="D1084" s="2" t="s">
        <v>3531</v>
      </c>
      <c r="E1084" s="5" t="s">
        <v>3532</v>
      </c>
      <c r="F1084" s="3" t="s">
        <v>3533</v>
      </c>
      <c r="G1084" s="3" t="s">
        <v>2815</v>
      </c>
      <c r="H1084" s="2" t="str">
        <f>"2012"</f>
        <v>2012</v>
      </c>
      <c r="I1084" t="s">
        <v>14</v>
      </c>
      <c r="J1084" t="s">
        <v>15</v>
      </c>
    </row>
    <row r="1085" spans="1:10">
      <c r="A1085" s="2" t="str">
        <f>"1082"</f>
        <v>1082</v>
      </c>
      <c r="B1085" s="2" t="s">
        <v>9</v>
      </c>
      <c r="C1085" s="2" t="str">
        <f>"1 (1)"</f>
        <v>1 (1)</v>
      </c>
      <c r="D1085" s="2" t="s">
        <v>3534</v>
      </c>
      <c r="E1085" s="5" t="s">
        <v>3535</v>
      </c>
      <c r="F1085" s="3" t="s">
        <v>3536</v>
      </c>
      <c r="G1085" s="3" t="s">
        <v>3516</v>
      </c>
      <c r="H1085" s="2" t="str">
        <f>"2012"</f>
        <v>2012</v>
      </c>
      <c r="I1085" t="s">
        <v>14</v>
      </c>
      <c r="J1085" t="s">
        <v>15</v>
      </c>
    </row>
    <row r="1086" spans="1:10">
      <c r="A1086" s="2" t="str">
        <f>"1083"</f>
        <v>1083</v>
      </c>
      <c r="B1086" s="2" t="s">
        <v>9</v>
      </c>
      <c r="C1086" s="2" t="str">
        <f>"1 (1)"</f>
        <v>1 (1)</v>
      </c>
      <c r="D1086" s="2" t="s">
        <v>3537</v>
      </c>
      <c r="E1086" s="5" t="s">
        <v>3538</v>
      </c>
      <c r="F1086" s="3" t="s">
        <v>3539</v>
      </c>
      <c r="G1086" s="3" t="s">
        <v>2110</v>
      </c>
      <c r="H1086" s="2" t="str">
        <f>"2012"</f>
        <v>2012</v>
      </c>
      <c r="I1086" t="s">
        <v>14</v>
      </c>
      <c r="J1086" t="s">
        <v>15</v>
      </c>
    </row>
    <row r="1087" spans="1:10">
      <c r="A1087" s="2" t="str">
        <f>"1084"</f>
        <v>1084</v>
      </c>
      <c r="B1087" s="2" t="s">
        <v>9</v>
      </c>
      <c r="C1087" s="2" t="str">
        <f>"1 (1)"</f>
        <v>1 (1)</v>
      </c>
      <c r="D1087" s="2" t="s">
        <v>3540</v>
      </c>
      <c r="E1087" s="5" t="s">
        <v>2805</v>
      </c>
      <c r="F1087" s="3" t="s">
        <v>2806</v>
      </c>
      <c r="G1087" s="3" t="s">
        <v>2807</v>
      </c>
      <c r="H1087" s="2" t="str">
        <f>"2012"</f>
        <v>2012</v>
      </c>
      <c r="I1087" t="s">
        <v>14</v>
      </c>
      <c r="J1087" t="s">
        <v>15</v>
      </c>
    </row>
    <row r="1088" spans="1:10">
      <c r="A1088" s="2" t="str">
        <f>"1085"</f>
        <v>1085</v>
      </c>
      <c r="B1088" s="2" t="s">
        <v>9</v>
      </c>
      <c r="C1088" s="2" t="str">
        <f>"1 (1)"</f>
        <v>1 (1)</v>
      </c>
      <c r="D1088" s="2" t="s">
        <v>3541</v>
      </c>
      <c r="E1088" s="5" t="s">
        <v>2809</v>
      </c>
      <c r="F1088" s="3" t="s">
        <v>2810</v>
      </c>
      <c r="G1088" s="3" t="s">
        <v>2811</v>
      </c>
      <c r="H1088" s="2" t="str">
        <f>"2012"</f>
        <v>2012</v>
      </c>
      <c r="I1088" t="s">
        <v>14</v>
      </c>
      <c r="J1088" t="s">
        <v>15</v>
      </c>
    </row>
    <row r="1089" spans="1:10">
      <c r="A1089" s="2" t="str">
        <f>"1086"</f>
        <v>1086</v>
      </c>
      <c r="B1089" s="2" t="s">
        <v>9</v>
      </c>
      <c r="C1089" s="2" t="str">
        <f>"1 (1)"</f>
        <v>1 (1)</v>
      </c>
      <c r="D1089" s="2" t="s">
        <v>3542</v>
      </c>
      <c r="E1089" s="5" t="s">
        <v>2813</v>
      </c>
      <c r="F1089" s="3" t="s">
        <v>2814</v>
      </c>
      <c r="G1089" s="3" t="s">
        <v>2815</v>
      </c>
      <c r="H1089" s="2" t="str">
        <f>"2012"</f>
        <v>2012</v>
      </c>
      <c r="I1089" t="s">
        <v>14</v>
      </c>
      <c r="J1089" t="s">
        <v>15</v>
      </c>
    </row>
    <row r="1090" spans="1:10">
      <c r="A1090" s="2" t="str">
        <f>"1087"</f>
        <v>1087</v>
      </c>
      <c r="B1090" s="2" t="s">
        <v>9</v>
      </c>
      <c r="C1090" s="2" t="str">
        <f>"1 (1)"</f>
        <v>1 (1)</v>
      </c>
      <c r="D1090" s="2" t="s">
        <v>3543</v>
      </c>
      <c r="E1090" s="5" t="s">
        <v>3544</v>
      </c>
      <c r="F1090" s="3" t="s">
        <v>3545</v>
      </c>
      <c r="G1090" s="3" t="s">
        <v>3546</v>
      </c>
      <c r="H1090" s="2" t="str">
        <f>"2012"</f>
        <v>2012</v>
      </c>
      <c r="I1090" t="s">
        <v>14</v>
      </c>
      <c r="J1090" t="s">
        <v>15</v>
      </c>
    </row>
    <row r="1091" spans="1:10">
      <c r="A1091" s="2" t="str">
        <f>"1088"</f>
        <v>1088</v>
      </c>
      <c r="B1091" s="2" t="s">
        <v>9</v>
      </c>
      <c r="C1091" s="2" t="str">
        <f>"1 (1)"</f>
        <v>1 (1)</v>
      </c>
      <c r="D1091" s="2" t="s">
        <v>3547</v>
      </c>
      <c r="E1091" s="5" t="s">
        <v>3548</v>
      </c>
      <c r="F1091" s="3" t="s">
        <v>3549</v>
      </c>
      <c r="G1091" s="3" t="s">
        <v>3550</v>
      </c>
      <c r="H1091" s="2" t="str">
        <f>"2012"</f>
        <v>2012</v>
      </c>
      <c r="I1091" t="s">
        <v>14</v>
      </c>
      <c r="J1091" t="s">
        <v>15</v>
      </c>
    </row>
    <row r="1092" spans="1:10">
      <c r="A1092" s="2" t="str">
        <f>"1089"</f>
        <v>1089</v>
      </c>
      <c r="B1092" s="2" t="s">
        <v>9</v>
      </c>
      <c r="C1092" s="2" t="str">
        <f>"1 (1)"</f>
        <v>1 (1)</v>
      </c>
      <c r="D1092" s="2" t="s">
        <v>3551</v>
      </c>
      <c r="E1092" s="5" t="s">
        <v>3552</v>
      </c>
      <c r="F1092" s="3" t="s">
        <v>3553</v>
      </c>
      <c r="G1092" s="3" t="s">
        <v>3554</v>
      </c>
      <c r="H1092" s="2" t="str">
        <f>"2012"</f>
        <v>2012</v>
      </c>
      <c r="I1092" t="s">
        <v>14</v>
      </c>
      <c r="J1092" t="s">
        <v>15</v>
      </c>
    </row>
    <row r="1093" spans="1:10">
      <c r="A1093" s="2" t="str">
        <f>"1090"</f>
        <v>1090</v>
      </c>
      <c r="B1093" s="2" t="s">
        <v>9</v>
      </c>
      <c r="C1093" s="2" t="str">
        <f>"1 (1)"</f>
        <v>1 (1)</v>
      </c>
      <c r="D1093" s="2" t="s">
        <v>3555</v>
      </c>
      <c r="E1093" s="5" t="s">
        <v>3556</v>
      </c>
      <c r="F1093" s="3" t="s">
        <v>3557</v>
      </c>
      <c r="G1093" s="3" t="s">
        <v>2735</v>
      </c>
      <c r="H1093" s="2" t="str">
        <f>"2012"</f>
        <v>2012</v>
      </c>
      <c r="I1093" t="s">
        <v>14</v>
      </c>
      <c r="J1093" t="s">
        <v>15</v>
      </c>
    </row>
    <row r="1094" spans="1:10">
      <c r="A1094" s="2" t="str">
        <f>"1091"</f>
        <v>1091</v>
      </c>
      <c r="B1094" s="2" t="s">
        <v>9</v>
      </c>
      <c r="C1094" s="2" t="str">
        <f>"1 (1)"</f>
        <v>1 (1)</v>
      </c>
      <c r="D1094" s="2" t="s">
        <v>3558</v>
      </c>
      <c r="E1094" s="5" t="s">
        <v>3559</v>
      </c>
      <c r="F1094" s="3" t="s">
        <v>3560</v>
      </c>
      <c r="G1094" s="3" t="s">
        <v>3440</v>
      </c>
      <c r="H1094" s="2" t="str">
        <f>"2010"</f>
        <v>2010</v>
      </c>
      <c r="I1094" t="s">
        <v>14</v>
      </c>
      <c r="J1094" t="s">
        <v>15</v>
      </c>
    </row>
    <row r="1095" spans="1:10">
      <c r="A1095" s="2" t="str">
        <f>"1092"</f>
        <v>1092</v>
      </c>
      <c r="B1095" s="2" t="s">
        <v>9</v>
      </c>
      <c r="C1095" s="2" t="str">
        <f>"1 (1)"</f>
        <v>1 (1)</v>
      </c>
      <c r="D1095" s="2" t="s">
        <v>3561</v>
      </c>
      <c r="E1095" s="5" t="str">
        <f>"1001가지 기독교 명언  : 삶과 묵상과 설교의 깊이를 더하는 명언 선집"</f>
        <v>1001가지 기독교 명언  : 삶과 묵상과 설교의 깊이를 더하는 명언 선집</v>
      </c>
      <c r="F1095" s="3" t="s">
        <v>3562</v>
      </c>
      <c r="G1095" s="3" t="s">
        <v>3563</v>
      </c>
      <c r="H1095" s="2" t="str">
        <f>"2012"</f>
        <v>2012</v>
      </c>
      <c r="I1095" t="s">
        <v>14</v>
      </c>
      <c r="J1095" t="s">
        <v>15</v>
      </c>
    </row>
    <row r="1096" spans="1:10">
      <c r="A1096" s="2" t="str">
        <f>"1093"</f>
        <v>1093</v>
      </c>
      <c r="B1096" s="2" t="s">
        <v>9</v>
      </c>
      <c r="C1096" s="2" t="str">
        <f>"1 (1)"</f>
        <v>1 (1)</v>
      </c>
      <c r="D1096" s="2" t="s">
        <v>3564</v>
      </c>
      <c r="E1096" s="5" t="s">
        <v>3565</v>
      </c>
      <c r="F1096" s="3" t="s">
        <v>3566</v>
      </c>
      <c r="G1096" s="3" t="s">
        <v>3567</v>
      </c>
      <c r="H1096" s="2" t="str">
        <f>"2012"</f>
        <v>2012</v>
      </c>
      <c r="I1096" t="s">
        <v>14</v>
      </c>
      <c r="J1096" t="s">
        <v>15</v>
      </c>
    </row>
    <row r="1097" spans="1:10">
      <c r="A1097" s="2" t="str">
        <f>"1094"</f>
        <v>1094</v>
      </c>
      <c r="B1097" s="2" t="s">
        <v>9</v>
      </c>
      <c r="C1097" s="2" t="str">
        <f>"1 (1)"</f>
        <v>1 (1)</v>
      </c>
      <c r="D1097" s="2" t="s">
        <v>3568</v>
      </c>
      <c r="E1097" s="5" t="s">
        <v>3569</v>
      </c>
      <c r="F1097" s="3" t="s">
        <v>3570</v>
      </c>
      <c r="G1097" s="3" t="s">
        <v>3571</v>
      </c>
      <c r="H1097" s="2" t="str">
        <f>"2012"</f>
        <v>2012</v>
      </c>
      <c r="I1097" t="s">
        <v>14</v>
      </c>
      <c r="J1097" t="s">
        <v>15</v>
      </c>
    </row>
    <row r="1098" spans="1:10">
      <c r="A1098" s="2" t="str">
        <f>"1095"</f>
        <v>1095</v>
      </c>
      <c r="B1098" s="2" t="s">
        <v>9</v>
      </c>
      <c r="C1098" s="2" t="str">
        <f>"1 (1)"</f>
        <v>1 (1)</v>
      </c>
      <c r="D1098" s="2" t="s">
        <v>3572</v>
      </c>
      <c r="E1098" s="5" t="s">
        <v>3573</v>
      </c>
      <c r="F1098" s="3" t="s">
        <v>3574</v>
      </c>
      <c r="G1098" s="3" t="s">
        <v>3575</v>
      </c>
      <c r="H1098" s="2" t="str">
        <f>"2012"</f>
        <v>2012</v>
      </c>
      <c r="I1098" t="s">
        <v>14</v>
      </c>
      <c r="J1098" t="s">
        <v>15</v>
      </c>
    </row>
    <row r="1099" spans="1:10">
      <c r="A1099" s="2" t="str">
        <f>"1096"</f>
        <v>1096</v>
      </c>
      <c r="B1099" s="2" t="s">
        <v>9</v>
      </c>
      <c r="C1099" s="2" t="str">
        <f>"1 (1)"</f>
        <v>1 (1)</v>
      </c>
      <c r="D1099" s="2" t="s">
        <v>3576</v>
      </c>
      <c r="E1099" s="5" t="s">
        <v>3577</v>
      </c>
      <c r="F1099" s="3" t="s">
        <v>3578</v>
      </c>
      <c r="G1099" s="3" t="s">
        <v>3579</v>
      </c>
      <c r="H1099" s="2" t="str">
        <f>"2012"</f>
        <v>2012</v>
      </c>
      <c r="I1099" t="s">
        <v>14</v>
      </c>
      <c r="J1099" t="s">
        <v>15</v>
      </c>
    </row>
    <row r="1100" spans="1:10">
      <c r="A1100" s="2" t="str">
        <f>"1097"</f>
        <v>1097</v>
      </c>
      <c r="B1100" s="2" t="s">
        <v>9</v>
      </c>
      <c r="C1100" s="2" t="str">
        <f>"1 (1)"</f>
        <v>1 (1)</v>
      </c>
      <c r="D1100" s="2" t="s">
        <v>3580</v>
      </c>
      <c r="E1100" s="5" t="s">
        <v>3581</v>
      </c>
      <c r="F1100" s="3" t="s">
        <v>3582</v>
      </c>
      <c r="G1100" s="3" t="s">
        <v>3583</v>
      </c>
      <c r="H1100" s="2" t="str">
        <f>"2012"</f>
        <v>2012</v>
      </c>
      <c r="I1100" t="s">
        <v>14</v>
      </c>
      <c r="J1100" t="s">
        <v>15</v>
      </c>
    </row>
    <row r="1101" spans="1:10">
      <c r="A1101" s="2" t="str">
        <f>"1098"</f>
        <v>1098</v>
      </c>
      <c r="B1101" s="2" t="s">
        <v>9</v>
      </c>
      <c r="C1101" s="2" t="str">
        <f>"1 (1)"</f>
        <v>1 (1)</v>
      </c>
      <c r="D1101" s="2" t="s">
        <v>3584</v>
      </c>
      <c r="E1101" s="5" t="s">
        <v>3585</v>
      </c>
      <c r="F1101" s="3" t="s">
        <v>3586</v>
      </c>
      <c r="G1101" s="3" t="s">
        <v>3587</v>
      </c>
      <c r="H1101" s="2" t="str">
        <f>"2012"</f>
        <v>2012</v>
      </c>
      <c r="I1101" t="s">
        <v>14</v>
      </c>
      <c r="J1101" t="s">
        <v>15</v>
      </c>
    </row>
    <row r="1102" spans="1:10">
      <c r="A1102" s="2" t="str">
        <f>"1099"</f>
        <v>1099</v>
      </c>
      <c r="B1102" s="2" t="s">
        <v>9</v>
      </c>
      <c r="C1102" s="2" t="str">
        <f>"1 (1)"</f>
        <v>1 (1)</v>
      </c>
      <c r="D1102" s="2" t="s">
        <v>3588</v>
      </c>
      <c r="E1102" s="5" t="s">
        <v>3589</v>
      </c>
      <c r="F1102" s="3" t="s">
        <v>3590</v>
      </c>
      <c r="G1102" s="3" t="s">
        <v>3591</v>
      </c>
      <c r="H1102" s="2" t="str">
        <f>"2012"</f>
        <v>2012</v>
      </c>
      <c r="I1102" t="s">
        <v>14</v>
      </c>
      <c r="J1102" t="s">
        <v>15</v>
      </c>
    </row>
    <row r="1103" spans="1:10">
      <c r="A1103" s="2" t="str">
        <f>"1100"</f>
        <v>1100</v>
      </c>
      <c r="B1103" s="2" t="s">
        <v>9</v>
      </c>
      <c r="C1103" s="2" t="str">
        <f>"1 (1)"</f>
        <v>1 (1)</v>
      </c>
      <c r="D1103" s="2" t="s">
        <v>3592</v>
      </c>
      <c r="E1103" s="5" t="s">
        <v>3593</v>
      </c>
      <c r="F1103" s="3" t="s">
        <v>3594</v>
      </c>
      <c r="G1103" s="3" t="s">
        <v>3595</v>
      </c>
      <c r="H1103" s="2" t="str">
        <f>"2012"</f>
        <v>2012</v>
      </c>
      <c r="I1103" t="s">
        <v>14</v>
      </c>
      <c r="J1103" t="s">
        <v>15</v>
      </c>
    </row>
    <row r="1104" spans="1:10">
      <c r="A1104" s="2" t="str">
        <f>"1101"</f>
        <v>1101</v>
      </c>
      <c r="B1104" s="2" t="s">
        <v>9</v>
      </c>
      <c r="C1104" s="2" t="str">
        <f>"1 (1)"</f>
        <v>1 (1)</v>
      </c>
      <c r="D1104" s="2" t="s">
        <v>3596</v>
      </c>
      <c r="E1104" s="5" t="s">
        <v>3597</v>
      </c>
      <c r="F1104" s="3" t="s">
        <v>3598</v>
      </c>
      <c r="G1104" s="3" t="s">
        <v>3599</v>
      </c>
      <c r="H1104" s="2" t="str">
        <f>"2012"</f>
        <v>2012</v>
      </c>
      <c r="I1104" t="s">
        <v>14</v>
      </c>
      <c r="J1104" t="s">
        <v>15</v>
      </c>
    </row>
    <row r="1105" spans="1:10">
      <c r="A1105" s="2" t="str">
        <f>"1102"</f>
        <v>1102</v>
      </c>
      <c r="B1105" s="2" t="s">
        <v>9</v>
      </c>
      <c r="C1105" s="2" t="str">
        <f>"1 (1)"</f>
        <v>1 (1)</v>
      </c>
      <c r="D1105" s="2" t="s">
        <v>3600</v>
      </c>
      <c r="E1105" s="5" t="s">
        <v>3601</v>
      </c>
      <c r="F1105" s="3" t="s">
        <v>3602</v>
      </c>
      <c r="G1105" s="3" t="s">
        <v>3603</v>
      </c>
      <c r="H1105" s="2" t="str">
        <f>"2012"</f>
        <v>2012</v>
      </c>
      <c r="I1105" t="s">
        <v>14</v>
      </c>
      <c r="J1105" t="s">
        <v>15</v>
      </c>
    </row>
    <row r="1106" spans="1:10">
      <c r="A1106" s="2" t="str">
        <f>"1103"</f>
        <v>1103</v>
      </c>
      <c r="B1106" s="2" t="s">
        <v>9</v>
      </c>
      <c r="C1106" s="2" t="str">
        <f>"1 (1)"</f>
        <v>1 (1)</v>
      </c>
      <c r="D1106" s="2" t="s">
        <v>3604</v>
      </c>
      <c r="E1106" s="5" t="s">
        <v>3605</v>
      </c>
      <c r="F1106" s="3" t="s">
        <v>3606</v>
      </c>
      <c r="G1106" s="3" t="s">
        <v>3607</v>
      </c>
      <c r="H1106" s="2" t="str">
        <f>"2012"</f>
        <v>2012</v>
      </c>
      <c r="I1106" t="s">
        <v>14</v>
      </c>
      <c r="J1106" t="s">
        <v>15</v>
      </c>
    </row>
    <row r="1107" spans="1:10">
      <c r="A1107" s="2" t="str">
        <f>"1104"</f>
        <v>1104</v>
      </c>
      <c r="B1107" s="2" t="s">
        <v>9</v>
      </c>
      <c r="C1107" s="2" t="str">
        <f>"1 (1)"</f>
        <v>1 (1)</v>
      </c>
      <c r="D1107" s="2" t="s">
        <v>3608</v>
      </c>
      <c r="E1107" s="5" t="s">
        <v>3609</v>
      </c>
      <c r="F1107" s="3" t="s">
        <v>3610</v>
      </c>
      <c r="G1107" s="3" t="str">
        <f>"21세기북스"</f>
        <v>21세기북스</v>
      </c>
      <c r="H1107" s="2" t="str">
        <f>"2012"</f>
        <v>2012</v>
      </c>
      <c r="I1107" t="s">
        <v>14</v>
      </c>
      <c r="J1107" t="s">
        <v>15</v>
      </c>
    </row>
    <row r="1108" spans="1:10">
      <c r="A1108" s="2" t="str">
        <f>"1105"</f>
        <v>1105</v>
      </c>
      <c r="B1108" s="2" t="s">
        <v>9</v>
      </c>
      <c r="C1108" s="2" t="str">
        <f>"1 (1)"</f>
        <v>1 (1)</v>
      </c>
      <c r="D1108" s="2" t="s">
        <v>3611</v>
      </c>
      <c r="E1108" s="5" t="s">
        <v>3612</v>
      </c>
      <c r="F1108" s="3" t="s">
        <v>3613</v>
      </c>
      <c r="G1108" s="3" t="s">
        <v>3614</v>
      </c>
      <c r="H1108" s="2" t="str">
        <f>"2005"</f>
        <v>2005</v>
      </c>
      <c r="I1108" t="s">
        <v>14</v>
      </c>
      <c r="J1108" t="s">
        <v>15</v>
      </c>
    </row>
    <row r="1109" spans="1:10">
      <c r="A1109" s="2" t="str">
        <f>"1106"</f>
        <v>1106</v>
      </c>
      <c r="B1109" s="2" t="s">
        <v>9</v>
      </c>
      <c r="C1109" s="2" t="str">
        <f>"1 (1)"</f>
        <v>1 (1)</v>
      </c>
      <c r="D1109" s="2" t="s">
        <v>3615</v>
      </c>
      <c r="E1109" s="5" t="s">
        <v>3616</v>
      </c>
      <c r="F1109" s="3" t="s">
        <v>3617</v>
      </c>
      <c r="G1109" s="3" t="s">
        <v>3618</v>
      </c>
      <c r="H1109" s="2" t="str">
        <f>"2012"</f>
        <v>2012</v>
      </c>
      <c r="I1109" t="s">
        <v>14</v>
      </c>
      <c r="J1109" t="s">
        <v>15</v>
      </c>
    </row>
    <row r="1110" spans="1:10">
      <c r="A1110" s="2" t="str">
        <f>"1107"</f>
        <v>1107</v>
      </c>
      <c r="B1110" s="2" t="s">
        <v>9</v>
      </c>
      <c r="C1110" s="2" t="str">
        <f>"1 (1)"</f>
        <v>1 (1)</v>
      </c>
      <c r="D1110" s="2" t="s">
        <v>3619</v>
      </c>
      <c r="E1110" s="5" t="s">
        <v>3620</v>
      </c>
      <c r="F1110" s="3" t="s">
        <v>3621</v>
      </c>
      <c r="G1110" s="3" t="s">
        <v>3622</v>
      </c>
      <c r="H1110" s="2" t="str">
        <f>"2012"</f>
        <v>2012</v>
      </c>
      <c r="I1110" t="s">
        <v>14</v>
      </c>
      <c r="J1110" t="s">
        <v>15</v>
      </c>
    </row>
    <row r="1111" spans="1:10">
      <c r="A1111" s="2" t="str">
        <f>"1108"</f>
        <v>1108</v>
      </c>
      <c r="B1111" s="2" t="s">
        <v>9</v>
      </c>
      <c r="C1111" s="2" t="str">
        <f>"1 (1)"</f>
        <v>1 (1)</v>
      </c>
      <c r="D1111" s="2" t="s">
        <v>3623</v>
      </c>
      <c r="E1111" s="5" t="s">
        <v>3624</v>
      </c>
      <c r="F1111" s="3" t="s">
        <v>3625</v>
      </c>
      <c r="G1111" s="3" t="s">
        <v>3614</v>
      </c>
      <c r="H1111" s="2" t="str">
        <f>"2005"</f>
        <v>2005</v>
      </c>
      <c r="I1111" t="s">
        <v>14</v>
      </c>
      <c r="J1111" t="s">
        <v>15</v>
      </c>
    </row>
    <row r="1112" spans="1:10">
      <c r="A1112" s="2" t="str">
        <f>"1109"</f>
        <v>1109</v>
      </c>
      <c r="B1112" s="2" t="s">
        <v>9</v>
      </c>
      <c r="C1112" s="2" t="str">
        <f>"1 (1)"</f>
        <v>1 (1)</v>
      </c>
      <c r="D1112" s="2" t="s">
        <v>3626</v>
      </c>
      <c r="E1112" s="5" t="s">
        <v>3627</v>
      </c>
      <c r="F1112" s="3" t="s">
        <v>3628</v>
      </c>
      <c r="G1112" s="3" t="s">
        <v>3629</v>
      </c>
      <c r="H1112" s="2" t="str">
        <f>"2012"</f>
        <v>2012</v>
      </c>
      <c r="I1112" t="s">
        <v>14</v>
      </c>
      <c r="J1112" t="s">
        <v>15</v>
      </c>
    </row>
    <row r="1113" spans="1:10">
      <c r="A1113" s="2" t="str">
        <f>"1110"</f>
        <v>1110</v>
      </c>
      <c r="B1113" s="2" t="s">
        <v>9</v>
      </c>
      <c r="C1113" s="2" t="str">
        <f>"1 (1)"</f>
        <v>1 (1)</v>
      </c>
      <c r="D1113" s="2" t="s">
        <v>3630</v>
      </c>
      <c r="E1113" s="5" t="s">
        <v>3631</v>
      </c>
      <c r="F1113" s="3" t="s">
        <v>3632</v>
      </c>
      <c r="G1113" s="3" t="s">
        <v>3633</v>
      </c>
      <c r="H1113" s="2" t="str">
        <f>"2012"</f>
        <v>2012</v>
      </c>
      <c r="I1113" t="s">
        <v>14</v>
      </c>
      <c r="J1113" t="s">
        <v>15</v>
      </c>
    </row>
    <row r="1114" spans="1:10">
      <c r="A1114" s="2" t="str">
        <f>"1111"</f>
        <v>1111</v>
      </c>
      <c r="B1114" s="2" t="s">
        <v>9</v>
      </c>
      <c r="C1114" s="2" t="str">
        <f>"1 (1)"</f>
        <v>1 (1)</v>
      </c>
      <c r="D1114" s="2" t="s">
        <v>3634</v>
      </c>
      <c r="E1114" s="5" t="s">
        <v>3635</v>
      </c>
      <c r="F1114" s="3" t="s">
        <v>3636</v>
      </c>
      <c r="G1114" s="3" t="s">
        <v>3637</v>
      </c>
      <c r="H1114" s="2" t="str">
        <f>"2012"</f>
        <v>2012</v>
      </c>
      <c r="I1114" t="s">
        <v>14</v>
      </c>
      <c r="J1114" t="s">
        <v>15</v>
      </c>
    </row>
    <row r="1115" spans="1:10">
      <c r="A1115" s="2" t="str">
        <f>"1112"</f>
        <v>1112</v>
      </c>
      <c r="B1115" s="2" t="s">
        <v>9</v>
      </c>
      <c r="C1115" s="2" t="str">
        <f>"1 (1)"</f>
        <v>1 (1)</v>
      </c>
      <c r="D1115" s="2" t="s">
        <v>3638</v>
      </c>
      <c r="E1115" s="5" t="s">
        <v>3639</v>
      </c>
      <c r="F1115" s="3" t="s">
        <v>3640</v>
      </c>
      <c r="G1115" s="3" t="s">
        <v>3641</v>
      </c>
      <c r="H1115" s="2" t="str">
        <f>"2012"</f>
        <v>2012</v>
      </c>
      <c r="I1115" t="s">
        <v>14</v>
      </c>
      <c r="J1115" t="s">
        <v>15</v>
      </c>
    </row>
    <row r="1116" spans="1:10">
      <c r="A1116" s="2" t="str">
        <f>"1113"</f>
        <v>1113</v>
      </c>
      <c r="B1116" s="2" t="s">
        <v>9</v>
      </c>
      <c r="C1116" s="2" t="str">
        <f>"1 (1)"</f>
        <v>1 (1)</v>
      </c>
      <c r="D1116" s="2" t="s">
        <v>3642</v>
      </c>
      <c r="E1116" s="5" t="s">
        <v>3643</v>
      </c>
      <c r="F1116" s="3" t="s">
        <v>3644</v>
      </c>
      <c r="G1116" s="3" t="s">
        <v>3645</v>
      </c>
      <c r="H1116" s="2" t="str">
        <f>"2012"</f>
        <v>2012</v>
      </c>
      <c r="I1116" t="s">
        <v>14</v>
      </c>
      <c r="J1116" t="s">
        <v>15</v>
      </c>
    </row>
    <row r="1117" spans="1:10">
      <c r="A1117" s="2" t="str">
        <f>"1114"</f>
        <v>1114</v>
      </c>
      <c r="B1117" s="2" t="s">
        <v>9</v>
      </c>
      <c r="C1117" s="2" t="str">
        <f>"1 (1)"</f>
        <v>1 (1)</v>
      </c>
      <c r="D1117" s="2" t="s">
        <v>3646</v>
      </c>
      <c r="E1117" s="5" t="s">
        <v>3647</v>
      </c>
      <c r="F1117" s="3" t="s">
        <v>3648</v>
      </c>
      <c r="G1117" s="3" t="s">
        <v>3154</v>
      </c>
      <c r="H1117" s="2" t="str">
        <f>"2012"</f>
        <v>2012</v>
      </c>
      <c r="I1117" t="s">
        <v>14</v>
      </c>
      <c r="J1117" t="s">
        <v>15</v>
      </c>
    </row>
    <row r="1118" spans="1:10">
      <c r="A1118" s="2" t="str">
        <f>"1115"</f>
        <v>1115</v>
      </c>
      <c r="B1118" s="2" t="s">
        <v>9</v>
      </c>
      <c r="C1118" s="2" t="str">
        <f>"1 (1)"</f>
        <v>1 (1)</v>
      </c>
      <c r="D1118" s="2" t="s">
        <v>3649</v>
      </c>
      <c r="E1118" s="5" t="s">
        <v>3650</v>
      </c>
      <c r="F1118" s="3" t="s">
        <v>3157</v>
      </c>
      <c r="G1118" s="3" t="s">
        <v>3154</v>
      </c>
      <c r="H1118" s="2" t="str">
        <f>"2012"</f>
        <v>2012</v>
      </c>
      <c r="I1118" t="s">
        <v>14</v>
      </c>
      <c r="J1118" t="s">
        <v>15</v>
      </c>
    </row>
    <row r="1119" spans="1:10">
      <c r="A1119" s="2" t="str">
        <f>"1116"</f>
        <v>1116</v>
      </c>
      <c r="B1119" s="2" t="s">
        <v>9</v>
      </c>
      <c r="C1119" s="2" t="str">
        <f>"1 (1)"</f>
        <v>1 (1)</v>
      </c>
      <c r="D1119" s="2" t="s">
        <v>3651</v>
      </c>
      <c r="E1119" s="5" t="s">
        <v>3652</v>
      </c>
      <c r="F1119" s="3" t="s">
        <v>3653</v>
      </c>
      <c r="G1119" s="3" t="s">
        <v>3654</v>
      </c>
      <c r="H1119" s="2" t="str">
        <f>"2010"</f>
        <v>2010</v>
      </c>
      <c r="I1119" t="s">
        <v>14</v>
      </c>
      <c r="J1119" t="s">
        <v>15</v>
      </c>
    </row>
    <row r="1120" spans="1:10">
      <c r="A1120" s="2" t="str">
        <f>"1117"</f>
        <v>1117</v>
      </c>
      <c r="B1120" s="2" t="s">
        <v>9</v>
      </c>
      <c r="C1120" s="2" t="str">
        <f>"1 (1)"</f>
        <v>1 (1)</v>
      </c>
      <c r="D1120" s="2" t="s">
        <v>3655</v>
      </c>
      <c r="E1120" s="5" t="s">
        <v>3656</v>
      </c>
      <c r="F1120" s="3" t="s">
        <v>3657</v>
      </c>
      <c r="G1120" s="3" t="s">
        <v>3658</v>
      </c>
      <c r="H1120" s="2" t="str">
        <f>"2012"</f>
        <v>2012</v>
      </c>
      <c r="I1120" t="s">
        <v>14</v>
      </c>
      <c r="J1120" t="s">
        <v>15</v>
      </c>
    </row>
    <row r="1121" spans="1:10">
      <c r="A1121" s="2" t="str">
        <f>"1118"</f>
        <v>1118</v>
      </c>
      <c r="B1121" s="2" t="s">
        <v>9</v>
      </c>
      <c r="C1121" s="2" t="str">
        <f>"1 (1)"</f>
        <v>1 (1)</v>
      </c>
      <c r="D1121" s="2" t="s">
        <v>3659</v>
      </c>
      <c r="E1121" s="5" t="s">
        <v>3660</v>
      </c>
      <c r="F1121" s="3" t="s">
        <v>3661</v>
      </c>
      <c r="G1121" s="3" t="s">
        <v>3662</v>
      </c>
      <c r="H1121" s="2" t="str">
        <f>"2012"</f>
        <v>2012</v>
      </c>
      <c r="I1121" t="s">
        <v>14</v>
      </c>
      <c r="J1121" t="s">
        <v>15</v>
      </c>
    </row>
    <row r="1122" spans="1:10">
      <c r="A1122" s="2" t="str">
        <f>"1119"</f>
        <v>1119</v>
      </c>
      <c r="B1122" s="2" t="s">
        <v>9</v>
      </c>
      <c r="C1122" s="2" t="str">
        <f>"1 (1)"</f>
        <v>1 (1)</v>
      </c>
      <c r="D1122" s="2" t="s">
        <v>3663</v>
      </c>
      <c r="E1122" s="5" t="s">
        <v>3664</v>
      </c>
      <c r="F1122" s="3" t="s">
        <v>3665</v>
      </c>
      <c r="G1122" s="3" t="s">
        <v>3666</v>
      </c>
      <c r="H1122" s="2" t="str">
        <f>"2012"</f>
        <v>2012</v>
      </c>
      <c r="I1122" t="s">
        <v>14</v>
      </c>
      <c r="J1122" t="s">
        <v>15</v>
      </c>
    </row>
    <row r="1123" spans="1:10">
      <c r="A1123" s="2" t="str">
        <f>"1120"</f>
        <v>1120</v>
      </c>
      <c r="B1123" s="2" t="s">
        <v>9</v>
      </c>
      <c r="C1123" s="2" t="str">
        <f>"1 (1)"</f>
        <v>1 (1)</v>
      </c>
      <c r="D1123" s="2" t="s">
        <v>3667</v>
      </c>
      <c r="E1123" s="5" t="s">
        <v>3668</v>
      </c>
      <c r="F1123" s="3" t="s">
        <v>3669</v>
      </c>
      <c r="G1123" s="3" t="s">
        <v>3670</v>
      </c>
      <c r="H1123" s="2" t="str">
        <f>"2012"</f>
        <v>2012</v>
      </c>
      <c r="I1123" t="s">
        <v>14</v>
      </c>
      <c r="J1123" t="s">
        <v>15</v>
      </c>
    </row>
    <row r="1124" spans="1:10">
      <c r="A1124" s="2" t="str">
        <f>"1121"</f>
        <v>1121</v>
      </c>
      <c r="B1124" s="2" t="s">
        <v>9</v>
      </c>
      <c r="C1124" s="2" t="str">
        <f>"1 (1)"</f>
        <v>1 (1)</v>
      </c>
      <c r="D1124" s="2" t="s">
        <v>3671</v>
      </c>
      <c r="E1124" s="5" t="s">
        <v>3672</v>
      </c>
      <c r="F1124" s="3" t="s">
        <v>3673</v>
      </c>
      <c r="G1124" s="3" t="s">
        <v>3012</v>
      </c>
      <c r="H1124" s="2" t="str">
        <f>"2012"</f>
        <v>2012</v>
      </c>
      <c r="I1124" t="s">
        <v>14</v>
      </c>
      <c r="J1124" t="s">
        <v>15</v>
      </c>
    </row>
    <row r="1125" spans="1:10">
      <c r="A1125" s="2" t="str">
        <f>"1122"</f>
        <v>1122</v>
      </c>
      <c r="B1125" s="2" t="s">
        <v>9</v>
      </c>
      <c r="C1125" s="2" t="str">
        <f>"1 (1)"</f>
        <v>1 (1)</v>
      </c>
      <c r="D1125" s="2" t="s">
        <v>3674</v>
      </c>
      <c r="E1125" s="5" t="s">
        <v>3675</v>
      </c>
      <c r="F1125" s="3" t="s">
        <v>3676</v>
      </c>
      <c r="G1125" s="3" t="s">
        <v>3677</v>
      </c>
      <c r="H1125" s="2" t="str">
        <f>"2011"</f>
        <v>2011</v>
      </c>
      <c r="I1125" t="s">
        <v>14</v>
      </c>
      <c r="J1125" t="s">
        <v>15</v>
      </c>
    </row>
    <row r="1126" spans="1:10">
      <c r="A1126" s="2" t="str">
        <f>"1123"</f>
        <v>1123</v>
      </c>
      <c r="B1126" s="2" t="s">
        <v>9</v>
      </c>
      <c r="C1126" s="2" t="str">
        <f>"1 (1)"</f>
        <v>1 (1)</v>
      </c>
      <c r="D1126" s="2" t="s">
        <v>3678</v>
      </c>
      <c r="E1126" s="5" t="s">
        <v>3679</v>
      </c>
      <c r="F1126" s="3" t="s">
        <v>3680</v>
      </c>
      <c r="G1126" s="3" t="s">
        <v>3681</v>
      </c>
      <c r="H1126" s="2" t="str">
        <f>"2012"</f>
        <v>2012</v>
      </c>
      <c r="I1126" t="s">
        <v>14</v>
      </c>
      <c r="J1126" t="s">
        <v>15</v>
      </c>
    </row>
    <row r="1127" spans="1:10">
      <c r="A1127" s="2" t="str">
        <f>"1124"</f>
        <v>1124</v>
      </c>
      <c r="B1127" s="2" t="s">
        <v>9</v>
      </c>
      <c r="C1127" s="2" t="str">
        <f>"1 (1)"</f>
        <v>1 (1)</v>
      </c>
      <c r="D1127" s="2" t="s">
        <v>3682</v>
      </c>
      <c r="E1127" s="5" t="s">
        <v>3683</v>
      </c>
      <c r="F1127" s="3" t="s">
        <v>3684</v>
      </c>
      <c r="G1127" s="3" t="s">
        <v>3685</v>
      </c>
      <c r="H1127" s="2" t="str">
        <f>"2012"</f>
        <v>2012</v>
      </c>
      <c r="I1127" t="s">
        <v>14</v>
      </c>
      <c r="J1127" t="s">
        <v>15</v>
      </c>
    </row>
    <row r="1128" spans="1:10">
      <c r="A1128" s="2" t="str">
        <f>"1125"</f>
        <v>1125</v>
      </c>
      <c r="B1128" s="2" t="s">
        <v>9</v>
      </c>
      <c r="C1128" s="2" t="str">
        <f>"1 (1)"</f>
        <v>1 (1)</v>
      </c>
      <c r="D1128" s="2" t="s">
        <v>3686</v>
      </c>
      <c r="E1128" s="5" t="s">
        <v>3687</v>
      </c>
      <c r="F1128" s="3" t="s">
        <v>3688</v>
      </c>
      <c r="G1128" s="3" t="s">
        <v>3689</v>
      </c>
      <c r="H1128" s="2" t="str">
        <f>"2012"</f>
        <v>2012</v>
      </c>
      <c r="I1128" t="s">
        <v>14</v>
      </c>
      <c r="J1128" t="s">
        <v>15</v>
      </c>
    </row>
    <row r="1129" spans="1:10">
      <c r="A1129" s="2" t="str">
        <f>"1126"</f>
        <v>1126</v>
      </c>
      <c r="B1129" s="2" t="s">
        <v>9</v>
      </c>
      <c r="C1129" s="2" t="str">
        <f>"1 (1)"</f>
        <v>1 (1)</v>
      </c>
      <c r="D1129" s="2" t="s">
        <v>3690</v>
      </c>
      <c r="E1129" s="5" t="s">
        <v>3691</v>
      </c>
      <c r="F1129" s="3" t="s">
        <v>3692</v>
      </c>
      <c r="G1129" s="3" t="s">
        <v>3693</v>
      </c>
      <c r="H1129" s="2" t="str">
        <f>"2012"</f>
        <v>2012</v>
      </c>
      <c r="I1129" t="s">
        <v>14</v>
      </c>
      <c r="J1129" t="s">
        <v>15</v>
      </c>
    </row>
    <row r="1130" spans="1:10">
      <c r="A1130" s="2" t="str">
        <f>"1127"</f>
        <v>1127</v>
      </c>
      <c r="B1130" s="2" t="s">
        <v>9</v>
      </c>
      <c r="C1130" s="2" t="str">
        <f>"1 (1)"</f>
        <v>1 (1)</v>
      </c>
      <c r="D1130" s="2" t="s">
        <v>3694</v>
      </c>
      <c r="E1130" s="5" t="s">
        <v>3695</v>
      </c>
      <c r="F1130" s="3" t="s">
        <v>3696</v>
      </c>
      <c r="G1130" s="3" t="s">
        <v>3697</v>
      </c>
      <c r="H1130" s="2" t="str">
        <f>"2012"</f>
        <v>2012</v>
      </c>
      <c r="I1130" t="s">
        <v>14</v>
      </c>
      <c r="J1130" t="s">
        <v>15</v>
      </c>
    </row>
    <row r="1131" spans="1:10">
      <c r="A1131" s="2" t="str">
        <f>"1128"</f>
        <v>1128</v>
      </c>
      <c r="B1131" s="2" t="s">
        <v>9</v>
      </c>
      <c r="C1131" s="2" t="str">
        <f>"1 (1)"</f>
        <v>1 (1)</v>
      </c>
      <c r="D1131" s="2" t="s">
        <v>3698</v>
      </c>
      <c r="E1131" s="5" t="s">
        <v>3699</v>
      </c>
      <c r="F1131" s="3" t="s">
        <v>3700</v>
      </c>
      <c r="G1131" s="3" t="s">
        <v>3078</v>
      </c>
      <c r="H1131" s="2" t="str">
        <f>"2011"</f>
        <v>2011</v>
      </c>
      <c r="I1131" t="s">
        <v>14</v>
      </c>
      <c r="J1131" t="s">
        <v>15</v>
      </c>
    </row>
    <row r="1132" spans="1:10">
      <c r="A1132" s="2" t="str">
        <f>"1129"</f>
        <v>1129</v>
      </c>
      <c r="B1132" s="2" t="s">
        <v>9</v>
      </c>
      <c r="C1132" s="2" t="str">
        <f>"1 (1)"</f>
        <v>1 (1)</v>
      </c>
      <c r="D1132" s="2" t="s">
        <v>3701</v>
      </c>
      <c r="E1132" s="5" t="s">
        <v>3702</v>
      </c>
      <c r="F1132" s="3" t="s">
        <v>3703</v>
      </c>
      <c r="G1132" s="3" t="s">
        <v>3633</v>
      </c>
      <c r="H1132" s="2" t="str">
        <f>"2012"</f>
        <v>2012</v>
      </c>
      <c r="I1132" t="s">
        <v>14</v>
      </c>
      <c r="J1132" t="s">
        <v>15</v>
      </c>
    </row>
    <row r="1133" spans="1:10">
      <c r="A1133" s="2" t="str">
        <f>"1130"</f>
        <v>1130</v>
      </c>
      <c r="B1133" s="2" t="s">
        <v>9</v>
      </c>
      <c r="C1133" s="2" t="str">
        <f>"1 (1)"</f>
        <v>1 (1)</v>
      </c>
      <c r="D1133" s="2" t="s">
        <v>3704</v>
      </c>
      <c r="E1133" s="5" t="s">
        <v>3705</v>
      </c>
      <c r="F1133" s="3" t="s">
        <v>3706</v>
      </c>
      <c r="G1133" s="3" t="s">
        <v>3645</v>
      </c>
      <c r="H1133" s="2" t="str">
        <f>"2012"</f>
        <v>2012</v>
      </c>
      <c r="I1133" t="s">
        <v>14</v>
      </c>
      <c r="J1133" t="s">
        <v>15</v>
      </c>
    </row>
    <row r="1134" spans="1:10">
      <c r="A1134" s="2" t="str">
        <f>"1131"</f>
        <v>1131</v>
      </c>
      <c r="B1134" s="2" t="s">
        <v>9</v>
      </c>
      <c r="C1134" s="2" t="str">
        <f>"1 (1)"</f>
        <v>1 (1)</v>
      </c>
      <c r="D1134" s="2" t="s">
        <v>3707</v>
      </c>
      <c r="E1134" s="5" t="s">
        <v>3708</v>
      </c>
      <c r="F1134" s="3" t="s">
        <v>3709</v>
      </c>
      <c r="G1134" s="3" t="s">
        <v>3710</v>
      </c>
      <c r="H1134" s="2" t="str">
        <f>"2012"</f>
        <v>2012</v>
      </c>
      <c r="I1134" t="s">
        <v>14</v>
      </c>
      <c r="J1134" t="s">
        <v>15</v>
      </c>
    </row>
    <row r="1135" spans="1:10">
      <c r="A1135" s="2" t="str">
        <f>"1132"</f>
        <v>1132</v>
      </c>
      <c r="B1135" s="2" t="s">
        <v>9</v>
      </c>
      <c r="C1135" s="2" t="str">
        <f>"1 (1)"</f>
        <v>1 (1)</v>
      </c>
      <c r="D1135" s="2" t="s">
        <v>3711</v>
      </c>
      <c r="E1135" s="5" t="s">
        <v>3712</v>
      </c>
      <c r="F1135" s="3" t="s">
        <v>3713</v>
      </c>
      <c r="G1135" s="3" t="s">
        <v>3666</v>
      </c>
      <c r="H1135" s="2" t="str">
        <f>"2012"</f>
        <v>2012</v>
      </c>
      <c r="I1135" t="s">
        <v>14</v>
      </c>
      <c r="J1135" t="s">
        <v>15</v>
      </c>
    </row>
    <row r="1136" spans="1:10">
      <c r="A1136" s="2" t="str">
        <f>"1133"</f>
        <v>1133</v>
      </c>
      <c r="B1136" s="2" t="s">
        <v>9</v>
      </c>
      <c r="C1136" s="2" t="str">
        <f>"1 (1)"</f>
        <v>1 (1)</v>
      </c>
      <c r="D1136" s="2" t="s">
        <v>3714</v>
      </c>
      <c r="E1136" s="5" t="s">
        <v>3715</v>
      </c>
      <c r="F1136" s="3" t="s">
        <v>3713</v>
      </c>
      <c r="G1136" s="3" t="s">
        <v>3666</v>
      </c>
      <c r="H1136" s="2" t="str">
        <f>"2012"</f>
        <v>2012</v>
      </c>
      <c r="I1136" t="s">
        <v>14</v>
      </c>
      <c r="J1136" t="s">
        <v>15</v>
      </c>
    </row>
    <row r="1137" spans="1:10">
      <c r="A1137" s="2" t="str">
        <f>"1134"</f>
        <v>1134</v>
      </c>
      <c r="B1137" s="2" t="s">
        <v>9</v>
      </c>
      <c r="C1137" s="2" t="str">
        <f>"1 (1)"</f>
        <v>1 (1)</v>
      </c>
      <c r="D1137" s="2" t="s">
        <v>3716</v>
      </c>
      <c r="E1137" s="5" t="s">
        <v>3717</v>
      </c>
      <c r="F1137" s="3" t="s">
        <v>3718</v>
      </c>
      <c r="G1137" s="3" t="s">
        <v>3719</v>
      </c>
      <c r="H1137" s="2" t="str">
        <f>"2012"</f>
        <v>2012</v>
      </c>
      <c r="I1137" t="s">
        <v>14</v>
      </c>
      <c r="J1137" t="s">
        <v>15</v>
      </c>
    </row>
    <row r="1138" spans="1:10">
      <c r="A1138" s="2" t="str">
        <f>"1135"</f>
        <v>1135</v>
      </c>
      <c r="B1138" s="2" t="s">
        <v>9</v>
      </c>
      <c r="C1138" s="2" t="str">
        <f>"1 (1)"</f>
        <v>1 (1)</v>
      </c>
      <c r="D1138" s="2" t="s">
        <v>3720</v>
      </c>
      <c r="E1138" s="5" t="s">
        <v>3721</v>
      </c>
      <c r="F1138" s="3" t="s">
        <v>3722</v>
      </c>
      <c r="G1138" s="3" t="s">
        <v>2072</v>
      </c>
      <c r="H1138" s="2" t="str">
        <f>"2012"</f>
        <v>2012</v>
      </c>
      <c r="I1138" t="s">
        <v>14</v>
      </c>
      <c r="J1138" t="s">
        <v>15</v>
      </c>
    </row>
    <row r="1139" spans="1:10">
      <c r="A1139" s="2" t="str">
        <f>"1136"</f>
        <v>1136</v>
      </c>
      <c r="B1139" s="2" t="s">
        <v>9</v>
      </c>
      <c r="C1139" s="2" t="str">
        <f>"1 (1)"</f>
        <v>1 (1)</v>
      </c>
      <c r="D1139" s="2" t="s">
        <v>3723</v>
      </c>
      <c r="E1139" s="5" t="s">
        <v>3724</v>
      </c>
      <c r="F1139" s="3" t="s">
        <v>3725</v>
      </c>
      <c r="G1139" s="3" t="s">
        <v>2438</v>
      </c>
      <c r="H1139" s="2" t="str">
        <f>"2012"</f>
        <v>2012</v>
      </c>
      <c r="I1139" t="s">
        <v>14</v>
      </c>
      <c r="J1139" t="s">
        <v>15</v>
      </c>
    </row>
    <row r="1140" spans="1:10">
      <c r="A1140" s="2" t="str">
        <f>"1137"</f>
        <v>1137</v>
      </c>
      <c r="B1140" s="2" t="s">
        <v>9</v>
      </c>
      <c r="C1140" s="2" t="str">
        <f>"1 (1)"</f>
        <v>1 (1)</v>
      </c>
      <c r="D1140" s="2" t="s">
        <v>3726</v>
      </c>
      <c r="E1140" s="5" t="s">
        <v>3724</v>
      </c>
      <c r="F1140" s="3" t="s">
        <v>3725</v>
      </c>
      <c r="G1140" s="3" t="s">
        <v>2438</v>
      </c>
      <c r="H1140" s="2" t="str">
        <f>"2012"</f>
        <v>2012</v>
      </c>
      <c r="I1140" t="s">
        <v>14</v>
      </c>
      <c r="J1140" t="s">
        <v>15</v>
      </c>
    </row>
    <row r="1141" spans="1:10">
      <c r="A1141" s="2" t="str">
        <f>"1138"</f>
        <v>1138</v>
      </c>
      <c r="B1141" s="2" t="s">
        <v>9</v>
      </c>
      <c r="C1141" s="2" t="str">
        <f>"1 (1)"</f>
        <v>1 (1)</v>
      </c>
      <c r="D1141" s="2" t="s">
        <v>3727</v>
      </c>
      <c r="E1141" s="5" t="s">
        <v>3728</v>
      </c>
      <c r="F1141" s="3" t="s">
        <v>3729</v>
      </c>
      <c r="G1141" s="3" t="s">
        <v>3154</v>
      </c>
      <c r="H1141" s="2" t="str">
        <f>"2012"</f>
        <v>2012</v>
      </c>
      <c r="I1141" t="s">
        <v>14</v>
      </c>
      <c r="J1141" t="s">
        <v>15</v>
      </c>
    </row>
    <row r="1142" spans="1:10">
      <c r="A1142" s="2" t="str">
        <f>"1139"</f>
        <v>1139</v>
      </c>
      <c r="B1142" s="2" t="s">
        <v>9</v>
      </c>
      <c r="C1142" s="2" t="str">
        <f>"1 (1)"</f>
        <v>1 (1)</v>
      </c>
      <c r="D1142" s="2" t="s">
        <v>3730</v>
      </c>
      <c r="E1142" s="5" t="s">
        <v>3731</v>
      </c>
      <c r="F1142" s="3" t="s">
        <v>3732</v>
      </c>
      <c r="G1142" s="3" t="s">
        <v>3733</v>
      </c>
      <c r="H1142" s="2" t="str">
        <f>"2012"</f>
        <v>2012</v>
      </c>
      <c r="I1142" t="s">
        <v>14</v>
      </c>
      <c r="J1142" t="s">
        <v>15</v>
      </c>
    </row>
    <row r="1143" spans="1:10">
      <c r="A1143" s="2" t="str">
        <f>"1140"</f>
        <v>1140</v>
      </c>
      <c r="B1143" s="2" t="s">
        <v>9</v>
      </c>
      <c r="C1143" s="2" t="str">
        <f>"1 (1)"</f>
        <v>1 (1)</v>
      </c>
      <c r="D1143" s="2" t="s">
        <v>3734</v>
      </c>
      <c r="E1143" s="5" t="s">
        <v>3735</v>
      </c>
      <c r="F1143" s="3" t="s">
        <v>3736</v>
      </c>
      <c r="G1143" s="3" t="s">
        <v>3154</v>
      </c>
      <c r="H1143" s="2" t="str">
        <f>"2012"</f>
        <v>2012</v>
      </c>
      <c r="I1143" t="s">
        <v>14</v>
      </c>
      <c r="J1143" t="s">
        <v>15</v>
      </c>
    </row>
    <row r="1144" spans="1:10">
      <c r="A1144" s="2" t="str">
        <f>"1141"</f>
        <v>1141</v>
      </c>
      <c r="B1144" s="2" t="s">
        <v>9</v>
      </c>
      <c r="C1144" s="2" t="str">
        <f>"1 (1)"</f>
        <v>1 (1)</v>
      </c>
      <c r="D1144" s="2" t="s">
        <v>3737</v>
      </c>
      <c r="E1144" s="5" t="str">
        <f>"30대 정치학  : 신자유주의와 1990년대 문화, SNS가 만들어낸 리모델링 세대"</f>
        <v>30대 정치학  : 신자유주의와 1990년대 문화, SNS가 만들어낸 리모델링 세대</v>
      </c>
      <c r="F1144" s="3" t="s">
        <v>3738</v>
      </c>
      <c r="G1144" s="3" t="s">
        <v>3739</v>
      </c>
      <c r="H1144" s="2" t="str">
        <f>"2012"</f>
        <v>2012</v>
      </c>
      <c r="I1144" t="s">
        <v>14</v>
      </c>
      <c r="J1144" t="s">
        <v>15</v>
      </c>
    </row>
    <row r="1145" spans="1:10">
      <c r="A1145" s="2" t="str">
        <f>"1142"</f>
        <v>1142</v>
      </c>
      <c r="B1145" s="2" t="s">
        <v>9</v>
      </c>
      <c r="C1145" s="2" t="str">
        <f>"1 (1)"</f>
        <v>1 (1)</v>
      </c>
      <c r="D1145" s="2" t="s">
        <v>3740</v>
      </c>
      <c r="E1145" s="5" t="s">
        <v>3741</v>
      </c>
      <c r="F1145" s="3" t="s">
        <v>3742</v>
      </c>
      <c r="G1145" s="3" t="s">
        <v>2681</v>
      </c>
      <c r="H1145" s="2" t="str">
        <f>"2012"</f>
        <v>2012</v>
      </c>
      <c r="I1145" t="s">
        <v>14</v>
      </c>
      <c r="J1145" t="s">
        <v>15</v>
      </c>
    </row>
    <row r="1146" spans="1:10">
      <c r="A1146" s="2" t="str">
        <f>"1143"</f>
        <v>1143</v>
      </c>
      <c r="B1146" s="2" t="s">
        <v>9</v>
      </c>
      <c r="C1146" s="2" t="str">
        <f>"1 (1)"</f>
        <v>1 (1)</v>
      </c>
      <c r="D1146" s="2" t="s">
        <v>3743</v>
      </c>
      <c r="E1146" s="5" t="s">
        <v>3744</v>
      </c>
      <c r="F1146" s="3" t="s">
        <v>3745</v>
      </c>
      <c r="G1146" s="3" t="s">
        <v>3746</v>
      </c>
      <c r="H1146" s="2" t="str">
        <f>"2012"</f>
        <v>2012</v>
      </c>
      <c r="I1146" t="s">
        <v>14</v>
      </c>
      <c r="J1146" t="s">
        <v>15</v>
      </c>
    </row>
    <row r="1147" spans="1:10">
      <c r="A1147" s="2" t="str">
        <f>"1144"</f>
        <v>1144</v>
      </c>
      <c r="B1147" s="2" t="s">
        <v>9</v>
      </c>
      <c r="C1147" s="2" t="str">
        <f>"1 (1)"</f>
        <v>1 (1)</v>
      </c>
      <c r="D1147" s="2" t="s">
        <v>3747</v>
      </c>
      <c r="E1147" s="5" t="s">
        <v>3748</v>
      </c>
      <c r="F1147" s="3" t="s">
        <v>3749</v>
      </c>
      <c r="G1147" s="3" t="s">
        <v>3750</v>
      </c>
      <c r="H1147" s="2" t="str">
        <f>"2012"</f>
        <v>2012</v>
      </c>
      <c r="I1147" t="s">
        <v>14</v>
      </c>
      <c r="J1147" t="s">
        <v>15</v>
      </c>
    </row>
    <row r="1148" spans="1:10">
      <c r="A1148" s="2" t="str">
        <f>"1145"</f>
        <v>1145</v>
      </c>
      <c r="B1148" s="2" t="s">
        <v>9</v>
      </c>
      <c r="C1148" s="2" t="str">
        <f>"1 (1)"</f>
        <v>1 (1)</v>
      </c>
      <c r="D1148" s="2" t="s">
        <v>3751</v>
      </c>
      <c r="E1148" s="5" t="s">
        <v>3752</v>
      </c>
      <c r="F1148" s="3" t="s">
        <v>3749</v>
      </c>
      <c r="G1148" s="3" t="s">
        <v>3750</v>
      </c>
      <c r="H1148" s="2" t="str">
        <f>"2012"</f>
        <v>2012</v>
      </c>
      <c r="I1148" t="s">
        <v>14</v>
      </c>
      <c r="J1148" t="s">
        <v>15</v>
      </c>
    </row>
    <row r="1149" spans="1:10">
      <c r="A1149" s="2" t="str">
        <f>"1146"</f>
        <v>1146</v>
      </c>
      <c r="B1149" s="2" t="s">
        <v>9</v>
      </c>
      <c r="C1149" s="2" t="str">
        <f>"1 (1)"</f>
        <v>1 (1)</v>
      </c>
      <c r="D1149" s="2" t="s">
        <v>3753</v>
      </c>
      <c r="E1149" s="5" t="s">
        <v>3754</v>
      </c>
      <c r="F1149" s="3" t="s">
        <v>3749</v>
      </c>
      <c r="G1149" s="3" t="s">
        <v>3755</v>
      </c>
      <c r="H1149" s="2" t="str">
        <f>"2012"</f>
        <v>2012</v>
      </c>
      <c r="I1149" t="s">
        <v>14</v>
      </c>
      <c r="J1149" t="s">
        <v>15</v>
      </c>
    </row>
    <row r="1150" spans="1:10">
      <c r="A1150" s="2" t="str">
        <f>"1147"</f>
        <v>1147</v>
      </c>
      <c r="B1150" s="2" t="s">
        <v>9</v>
      </c>
      <c r="C1150" s="2" t="str">
        <f>"1 (1)"</f>
        <v>1 (1)</v>
      </c>
      <c r="D1150" s="2" t="s">
        <v>3756</v>
      </c>
      <c r="E1150" s="5" t="s">
        <v>3757</v>
      </c>
      <c r="F1150" s="3" t="s">
        <v>3758</v>
      </c>
      <c r="G1150" s="3" t="s">
        <v>3759</v>
      </c>
      <c r="H1150" s="2" t="str">
        <f>"2012"</f>
        <v>2012</v>
      </c>
      <c r="I1150" t="s">
        <v>14</v>
      </c>
      <c r="J1150" t="s">
        <v>15</v>
      </c>
    </row>
    <row r="1151" spans="1:10">
      <c r="A1151" s="2" t="str">
        <f>"1148"</f>
        <v>1148</v>
      </c>
      <c r="B1151" s="2" t="s">
        <v>9</v>
      </c>
      <c r="C1151" s="2" t="str">
        <f>"1 (1)"</f>
        <v>1 (1)</v>
      </c>
      <c r="D1151" s="2" t="s">
        <v>3760</v>
      </c>
      <c r="E1151" s="5" t="s">
        <v>3761</v>
      </c>
      <c r="F1151" s="3" t="s">
        <v>3762</v>
      </c>
      <c r="G1151" s="3" t="s">
        <v>2500</v>
      </c>
      <c r="H1151" s="2" t="str">
        <f>"2012"</f>
        <v>2012</v>
      </c>
      <c r="I1151" t="s">
        <v>14</v>
      </c>
      <c r="J1151" t="s">
        <v>15</v>
      </c>
    </row>
    <row r="1152" spans="1:10">
      <c r="A1152" s="2" t="str">
        <f>"1149"</f>
        <v>1149</v>
      </c>
      <c r="B1152" s="2" t="s">
        <v>9</v>
      </c>
      <c r="C1152" s="2" t="str">
        <f>"1 (1)"</f>
        <v>1 (1)</v>
      </c>
      <c r="D1152" s="2" t="s">
        <v>3763</v>
      </c>
      <c r="E1152" s="5" t="s">
        <v>3764</v>
      </c>
      <c r="F1152" s="3" t="s">
        <v>3765</v>
      </c>
      <c r="G1152" s="3" t="s">
        <v>3766</v>
      </c>
      <c r="H1152" s="2" t="str">
        <f>"2012"</f>
        <v>2012</v>
      </c>
      <c r="I1152" t="s">
        <v>14</v>
      </c>
      <c r="J1152" t="s">
        <v>15</v>
      </c>
    </row>
    <row r="1153" spans="1:10">
      <c r="A1153" s="2" t="str">
        <f>"1150"</f>
        <v>1150</v>
      </c>
      <c r="B1153" s="2" t="s">
        <v>9</v>
      </c>
      <c r="C1153" s="2" t="str">
        <f>"1 (1)"</f>
        <v>1 (1)</v>
      </c>
      <c r="D1153" s="2" t="s">
        <v>3767</v>
      </c>
      <c r="E1153" s="5" t="s">
        <v>3768</v>
      </c>
      <c r="F1153" s="3" t="s">
        <v>3769</v>
      </c>
      <c r="G1153" s="3" t="s">
        <v>3770</v>
      </c>
      <c r="H1153" s="2" t="str">
        <f>"2012"</f>
        <v>2012</v>
      </c>
      <c r="I1153" t="s">
        <v>14</v>
      </c>
      <c r="J1153" t="s">
        <v>15</v>
      </c>
    </row>
    <row r="1154" spans="1:10">
      <c r="A1154" s="2" t="str">
        <f>"1151"</f>
        <v>1151</v>
      </c>
      <c r="B1154" s="2" t="s">
        <v>9</v>
      </c>
      <c r="C1154" s="2" t="str">
        <f>"1 (1)"</f>
        <v>1 (1)</v>
      </c>
      <c r="D1154" s="2" t="s">
        <v>3771</v>
      </c>
      <c r="E1154" s="5" t="s">
        <v>3772</v>
      </c>
      <c r="F1154" s="3" t="s">
        <v>3773</v>
      </c>
      <c r="G1154" s="3" t="s">
        <v>3774</v>
      </c>
      <c r="H1154" s="2" t="str">
        <f>"2012"</f>
        <v>2012</v>
      </c>
      <c r="I1154" t="s">
        <v>14</v>
      </c>
      <c r="J1154" t="s">
        <v>15</v>
      </c>
    </row>
    <row r="1155" spans="1:10">
      <c r="A1155" s="2" t="str">
        <f>"1152"</f>
        <v>1152</v>
      </c>
      <c r="B1155" s="2" t="s">
        <v>9</v>
      </c>
      <c r="C1155" s="2" t="str">
        <f>"1 (1)"</f>
        <v>1 (1)</v>
      </c>
      <c r="D1155" s="2" t="s">
        <v>3775</v>
      </c>
      <c r="E1155" s="5" t="s">
        <v>3776</v>
      </c>
      <c r="F1155" s="3" t="s">
        <v>3777</v>
      </c>
      <c r="G1155" s="3" t="s">
        <v>3778</v>
      </c>
      <c r="H1155" s="2" t="str">
        <f>"2012"</f>
        <v>2012</v>
      </c>
      <c r="I1155" t="s">
        <v>14</v>
      </c>
      <c r="J1155" t="s">
        <v>15</v>
      </c>
    </row>
    <row r="1156" spans="1:10">
      <c r="A1156" s="2" t="str">
        <f>"1153"</f>
        <v>1153</v>
      </c>
      <c r="B1156" s="2" t="s">
        <v>9</v>
      </c>
      <c r="C1156" s="2" t="str">
        <f>"1 (1)"</f>
        <v>1 (1)</v>
      </c>
      <c r="D1156" s="2" t="s">
        <v>3779</v>
      </c>
      <c r="E1156" s="5" t="s">
        <v>3780</v>
      </c>
      <c r="F1156" s="3" t="s">
        <v>3781</v>
      </c>
      <c r="G1156" s="3" t="s">
        <v>3782</v>
      </c>
      <c r="H1156" s="2" t="str">
        <f>"2012"</f>
        <v>2012</v>
      </c>
      <c r="I1156" t="s">
        <v>14</v>
      </c>
      <c r="J1156" t="s">
        <v>15</v>
      </c>
    </row>
    <row r="1157" spans="1:10">
      <c r="A1157" s="2" t="str">
        <f>"1154"</f>
        <v>1154</v>
      </c>
      <c r="B1157" s="2" t="s">
        <v>9</v>
      </c>
      <c r="C1157" s="2" t="str">
        <f>"1 (1)"</f>
        <v>1 (1)</v>
      </c>
      <c r="D1157" s="2" t="s">
        <v>3783</v>
      </c>
      <c r="E1157" s="5" t="s">
        <v>3784</v>
      </c>
      <c r="F1157" s="3" t="s">
        <v>3785</v>
      </c>
      <c r="G1157" s="3" t="s">
        <v>3786</v>
      </c>
      <c r="H1157" s="2" t="str">
        <f>"2012"</f>
        <v>2012</v>
      </c>
      <c r="I1157" t="s">
        <v>14</v>
      </c>
      <c r="J1157" t="s">
        <v>15</v>
      </c>
    </row>
    <row r="1158" spans="1:10">
      <c r="A1158" s="2" t="str">
        <f>"1155"</f>
        <v>1155</v>
      </c>
      <c r="B1158" s="2" t="s">
        <v>9</v>
      </c>
      <c r="C1158" s="2" t="str">
        <f>"1 (1)"</f>
        <v>1 (1)</v>
      </c>
      <c r="D1158" s="2" t="s">
        <v>3787</v>
      </c>
      <c r="E1158" s="5" t="s">
        <v>3788</v>
      </c>
      <c r="F1158" s="3" t="s">
        <v>3789</v>
      </c>
      <c r="G1158" s="3" t="s">
        <v>3614</v>
      </c>
      <c r="H1158" s="2" t="str">
        <f>"2000"</f>
        <v>2000</v>
      </c>
      <c r="I1158" t="s">
        <v>14</v>
      </c>
      <c r="J1158" t="s">
        <v>15</v>
      </c>
    </row>
    <row r="1159" spans="1:10">
      <c r="A1159" s="2" t="str">
        <f>"1156"</f>
        <v>1156</v>
      </c>
      <c r="B1159" s="2" t="s">
        <v>9</v>
      </c>
      <c r="C1159" s="2" t="str">
        <f>"1 (1)"</f>
        <v>1 (1)</v>
      </c>
      <c r="D1159" s="2" t="s">
        <v>3790</v>
      </c>
      <c r="E1159" s="5" t="s">
        <v>3791</v>
      </c>
      <c r="F1159" s="3" t="s">
        <v>3792</v>
      </c>
      <c r="G1159" s="3" t="s">
        <v>3793</v>
      </c>
      <c r="H1159" s="2" t="str">
        <f>"2012"</f>
        <v>2012</v>
      </c>
      <c r="I1159" t="s">
        <v>14</v>
      </c>
      <c r="J1159" t="s">
        <v>15</v>
      </c>
    </row>
    <row r="1160" spans="1:10">
      <c r="A1160" s="2" t="str">
        <f>"1157"</f>
        <v>1157</v>
      </c>
      <c r="B1160" s="2" t="s">
        <v>9</v>
      </c>
      <c r="C1160" s="2" t="str">
        <f>"1 (1)"</f>
        <v>1 (1)</v>
      </c>
      <c r="D1160" s="2" t="s">
        <v>3794</v>
      </c>
      <c r="E1160" s="5" t="s">
        <v>3795</v>
      </c>
      <c r="F1160" s="3" t="s">
        <v>3796</v>
      </c>
      <c r="G1160" s="3" t="s">
        <v>2110</v>
      </c>
      <c r="H1160" s="2" t="str">
        <f>"2012"</f>
        <v>2012</v>
      </c>
      <c r="I1160" t="s">
        <v>14</v>
      </c>
      <c r="J1160" t="s">
        <v>15</v>
      </c>
    </row>
    <row r="1161" spans="1:10">
      <c r="A1161" s="2" t="str">
        <f>"1158"</f>
        <v>1158</v>
      </c>
      <c r="B1161" s="2" t="s">
        <v>9</v>
      </c>
      <c r="C1161" s="2" t="str">
        <f>"1 (1)"</f>
        <v>1 (1)</v>
      </c>
      <c r="D1161" s="2" t="s">
        <v>3797</v>
      </c>
      <c r="E1161" s="5" t="s">
        <v>3798</v>
      </c>
      <c r="F1161" s="3" t="s">
        <v>3799</v>
      </c>
      <c r="G1161" s="3" t="s">
        <v>3800</v>
      </c>
      <c r="H1161" s="2" t="str">
        <f>"2012"</f>
        <v>2012</v>
      </c>
      <c r="I1161" t="s">
        <v>14</v>
      </c>
      <c r="J1161" t="s">
        <v>15</v>
      </c>
    </row>
    <row r="1162" spans="1:10">
      <c r="A1162" s="2" t="str">
        <f>"1159"</f>
        <v>1159</v>
      </c>
      <c r="B1162" s="2" t="s">
        <v>9</v>
      </c>
      <c r="C1162" s="2" t="str">
        <f>"1 (1)"</f>
        <v>1 (1)</v>
      </c>
      <c r="D1162" s="2" t="s">
        <v>3801</v>
      </c>
      <c r="E1162" s="5" t="s">
        <v>3802</v>
      </c>
      <c r="F1162" s="3" t="s">
        <v>3803</v>
      </c>
      <c r="G1162" s="3" t="s">
        <v>3804</v>
      </c>
      <c r="H1162" s="2" t="str">
        <f>"2012"</f>
        <v>2012</v>
      </c>
      <c r="I1162" t="s">
        <v>14</v>
      </c>
      <c r="J1162" t="s">
        <v>15</v>
      </c>
    </row>
    <row r="1163" spans="1:10">
      <c r="A1163" s="2" t="str">
        <f>"1160"</f>
        <v>1160</v>
      </c>
      <c r="B1163" s="2" t="s">
        <v>9</v>
      </c>
      <c r="C1163" s="2" t="str">
        <f>"1 (1)"</f>
        <v>1 (1)</v>
      </c>
      <c r="D1163" s="2" t="s">
        <v>3805</v>
      </c>
      <c r="E1163" s="5" t="s">
        <v>3806</v>
      </c>
      <c r="F1163" s="3" t="s">
        <v>3807</v>
      </c>
      <c r="G1163" s="3" t="s">
        <v>3808</v>
      </c>
      <c r="H1163" s="2" t="str">
        <f>"2012"</f>
        <v>2012</v>
      </c>
      <c r="I1163" t="s">
        <v>14</v>
      </c>
      <c r="J1163" t="s">
        <v>15</v>
      </c>
    </row>
    <row r="1164" spans="1:10">
      <c r="A1164" s="2" t="str">
        <f>"1161"</f>
        <v>1161</v>
      </c>
      <c r="B1164" s="2" t="s">
        <v>9</v>
      </c>
      <c r="C1164" s="2" t="str">
        <f>"1 (1)"</f>
        <v>1 (1)</v>
      </c>
      <c r="D1164" s="2" t="s">
        <v>3809</v>
      </c>
      <c r="E1164" s="5" t="s">
        <v>3810</v>
      </c>
      <c r="F1164" s="3" t="s">
        <v>3811</v>
      </c>
      <c r="G1164" s="3" t="s">
        <v>3614</v>
      </c>
      <c r="H1164" s="2" t="str">
        <f>"2005"</f>
        <v>2005</v>
      </c>
      <c r="I1164" t="s">
        <v>14</v>
      </c>
      <c r="J1164" t="s">
        <v>15</v>
      </c>
    </row>
    <row r="1165" spans="1:10">
      <c r="A1165" s="2" t="str">
        <f>"1162"</f>
        <v>1162</v>
      </c>
      <c r="B1165" s="2" t="s">
        <v>9</v>
      </c>
      <c r="C1165" s="2" t="str">
        <f>"1 (1)"</f>
        <v>1 (1)</v>
      </c>
      <c r="D1165" s="2" t="s">
        <v>3812</v>
      </c>
      <c r="E1165" s="5" t="s">
        <v>3813</v>
      </c>
      <c r="F1165" s="3" t="s">
        <v>3814</v>
      </c>
      <c r="G1165" s="3" t="s">
        <v>3815</v>
      </c>
      <c r="H1165" s="2" t="str">
        <f>"2012"</f>
        <v>2012</v>
      </c>
      <c r="I1165" t="s">
        <v>14</v>
      </c>
      <c r="J1165" t="s">
        <v>15</v>
      </c>
    </row>
    <row r="1166" spans="1:10">
      <c r="A1166" s="2" t="str">
        <f>"1163"</f>
        <v>1163</v>
      </c>
      <c r="B1166" s="2" t="s">
        <v>9</v>
      </c>
      <c r="C1166" s="2" t="str">
        <f>"1 (1)"</f>
        <v>1 (1)</v>
      </c>
      <c r="D1166" s="2" t="s">
        <v>3816</v>
      </c>
      <c r="E1166" s="5" t="s">
        <v>3817</v>
      </c>
      <c r="F1166" s="3" t="s">
        <v>3818</v>
      </c>
      <c r="G1166" s="3" t="s">
        <v>2450</v>
      </c>
      <c r="H1166" s="2" t="str">
        <f>"2012"</f>
        <v>2012</v>
      </c>
      <c r="I1166" t="s">
        <v>14</v>
      </c>
      <c r="J1166" t="s">
        <v>15</v>
      </c>
    </row>
    <row r="1167" spans="1:10">
      <c r="A1167" s="2" t="str">
        <f>"1164"</f>
        <v>1164</v>
      </c>
      <c r="B1167" s="2" t="s">
        <v>9</v>
      </c>
      <c r="C1167" s="2" t="str">
        <f>"1 (1)"</f>
        <v>1 (1)</v>
      </c>
      <c r="D1167" s="2" t="s">
        <v>3819</v>
      </c>
      <c r="E1167" s="5" t="s">
        <v>3820</v>
      </c>
      <c r="F1167" s="3" t="s">
        <v>3821</v>
      </c>
      <c r="G1167" s="3" t="s">
        <v>3822</v>
      </c>
      <c r="H1167" s="2" t="str">
        <f>"2012"</f>
        <v>2012</v>
      </c>
      <c r="I1167" t="s">
        <v>14</v>
      </c>
      <c r="J1167" t="s">
        <v>15</v>
      </c>
    </row>
    <row r="1168" spans="1:10">
      <c r="A1168" s="2" t="str">
        <f>"1165"</f>
        <v>1165</v>
      </c>
      <c r="B1168" s="2" t="s">
        <v>9</v>
      </c>
      <c r="C1168" s="2" t="str">
        <f>"1 (1)"</f>
        <v>1 (1)</v>
      </c>
      <c r="D1168" s="2" t="s">
        <v>3823</v>
      </c>
      <c r="E1168" s="5" t="s">
        <v>3824</v>
      </c>
      <c r="F1168" s="3" t="s">
        <v>3825</v>
      </c>
      <c r="G1168" s="3" t="s">
        <v>3826</v>
      </c>
      <c r="H1168" s="2" t="str">
        <f>"2012"</f>
        <v>2012</v>
      </c>
      <c r="I1168" t="s">
        <v>14</v>
      </c>
      <c r="J1168" t="s">
        <v>15</v>
      </c>
    </row>
    <row r="1169" spans="1:10">
      <c r="A1169" s="2" t="str">
        <f>"1166"</f>
        <v>1166</v>
      </c>
      <c r="B1169" s="2" t="s">
        <v>9</v>
      </c>
      <c r="C1169" s="2" t="str">
        <f>"1 (1)"</f>
        <v>1 (1)</v>
      </c>
      <c r="D1169" s="2" t="s">
        <v>3827</v>
      </c>
      <c r="E1169" s="5" t="s">
        <v>3828</v>
      </c>
      <c r="F1169" s="3" t="s">
        <v>3829</v>
      </c>
      <c r="G1169" s="3" t="s">
        <v>3830</v>
      </c>
      <c r="H1169" s="2" t="str">
        <f>"2012"</f>
        <v>2012</v>
      </c>
      <c r="I1169" t="s">
        <v>14</v>
      </c>
      <c r="J1169" t="s">
        <v>15</v>
      </c>
    </row>
    <row r="1170" spans="1:10">
      <c r="A1170" s="2" t="str">
        <f>"1167"</f>
        <v>1167</v>
      </c>
      <c r="B1170" s="2" t="s">
        <v>9</v>
      </c>
      <c r="C1170" s="2" t="str">
        <f>"1 (1)"</f>
        <v>1 (1)</v>
      </c>
      <c r="D1170" s="2" t="s">
        <v>3831</v>
      </c>
      <c r="E1170" s="5" t="s">
        <v>3832</v>
      </c>
      <c r="F1170" s="3" t="s">
        <v>3833</v>
      </c>
      <c r="G1170" s="3" t="s">
        <v>3834</v>
      </c>
      <c r="H1170" s="2" t="str">
        <f>"2012"</f>
        <v>2012</v>
      </c>
      <c r="I1170" t="s">
        <v>14</v>
      </c>
      <c r="J1170" t="s">
        <v>15</v>
      </c>
    </row>
    <row r="1171" spans="1:10">
      <c r="A1171" s="2" t="str">
        <f>"1168"</f>
        <v>1168</v>
      </c>
      <c r="B1171" s="2" t="s">
        <v>9</v>
      </c>
      <c r="C1171" s="2" t="str">
        <f>"1 (1)"</f>
        <v>1 (1)</v>
      </c>
      <c r="D1171" s="2" t="s">
        <v>3835</v>
      </c>
      <c r="E1171" s="5" t="s">
        <v>3836</v>
      </c>
      <c r="F1171" s="3" t="s">
        <v>3837</v>
      </c>
      <c r="G1171" s="3" t="s">
        <v>3614</v>
      </c>
      <c r="H1171" s="2" t="str">
        <f>"2005"</f>
        <v>2005</v>
      </c>
      <c r="I1171" t="s">
        <v>14</v>
      </c>
      <c r="J1171" t="s">
        <v>15</v>
      </c>
    </row>
    <row r="1172" spans="1:10">
      <c r="A1172" s="2" t="str">
        <f>"1169"</f>
        <v>1169</v>
      </c>
      <c r="B1172" s="2" t="s">
        <v>9</v>
      </c>
      <c r="C1172" s="2" t="str">
        <f>"1 (1)"</f>
        <v>1 (1)</v>
      </c>
      <c r="D1172" s="2" t="s">
        <v>3838</v>
      </c>
      <c r="E1172" s="5" t="s">
        <v>3839</v>
      </c>
      <c r="F1172" s="3" t="s">
        <v>3840</v>
      </c>
      <c r="G1172" s="3" t="s">
        <v>2500</v>
      </c>
      <c r="H1172" s="2" t="str">
        <f>"2012"</f>
        <v>2012</v>
      </c>
      <c r="I1172" t="s">
        <v>14</v>
      </c>
      <c r="J1172" t="s">
        <v>15</v>
      </c>
    </row>
    <row r="1173" spans="1:10">
      <c r="A1173" s="2" t="str">
        <f>"1170"</f>
        <v>1170</v>
      </c>
      <c r="B1173" s="2" t="s">
        <v>9</v>
      </c>
      <c r="C1173" s="2" t="str">
        <f>"1 (1)"</f>
        <v>1 (1)</v>
      </c>
      <c r="D1173" s="2" t="s">
        <v>3841</v>
      </c>
      <c r="E1173" s="5" t="s">
        <v>3842</v>
      </c>
      <c r="F1173" s="3" t="s">
        <v>3843</v>
      </c>
      <c r="G1173" s="3" t="s">
        <v>3844</v>
      </c>
      <c r="H1173" s="2" t="str">
        <f>"2012"</f>
        <v>2012</v>
      </c>
      <c r="I1173" t="s">
        <v>14</v>
      </c>
      <c r="J1173" t="s">
        <v>15</v>
      </c>
    </row>
    <row r="1174" spans="1:10">
      <c r="A1174" s="2" t="str">
        <f>"1171"</f>
        <v>1171</v>
      </c>
      <c r="B1174" s="2" t="s">
        <v>9</v>
      </c>
      <c r="C1174" s="2" t="str">
        <f>"1 (1)"</f>
        <v>1 (1)</v>
      </c>
      <c r="D1174" s="2" t="s">
        <v>3845</v>
      </c>
      <c r="E1174" s="5" t="s">
        <v>3846</v>
      </c>
      <c r="F1174" s="3" t="s">
        <v>3847</v>
      </c>
      <c r="G1174" s="3" t="s">
        <v>2787</v>
      </c>
      <c r="H1174" s="2" t="str">
        <f>"2009"</f>
        <v>2009</v>
      </c>
      <c r="I1174" t="s">
        <v>14</v>
      </c>
      <c r="J1174" t="s">
        <v>15</v>
      </c>
    </row>
    <row r="1175" spans="1:10">
      <c r="A1175" s="2" t="str">
        <f>"1172"</f>
        <v>1172</v>
      </c>
      <c r="B1175" s="2" t="s">
        <v>9</v>
      </c>
      <c r="C1175" s="2" t="str">
        <f>"1 (1)"</f>
        <v>1 (1)</v>
      </c>
      <c r="D1175" s="2" t="s">
        <v>3848</v>
      </c>
      <c r="E1175" s="5" t="s">
        <v>3849</v>
      </c>
      <c r="F1175" s="3" t="s">
        <v>3850</v>
      </c>
      <c r="G1175" s="3" t="s">
        <v>2110</v>
      </c>
      <c r="H1175" s="2" t="str">
        <f>"2012"</f>
        <v>2012</v>
      </c>
      <c r="I1175" t="s">
        <v>14</v>
      </c>
      <c r="J1175" t="s">
        <v>15</v>
      </c>
    </row>
    <row r="1176" spans="1:10">
      <c r="A1176" s="2" t="str">
        <f>"1173"</f>
        <v>1173</v>
      </c>
      <c r="B1176" s="2" t="s">
        <v>9</v>
      </c>
      <c r="C1176" s="2" t="str">
        <f>"1 (1)"</f>
        <v>1 (1)</v>
      </c>
      <c r="D1176" s="2" t="s">
        <v>3851</v>
      </c>
      <c r="E1176" s="5" t="s">
        <v>3852</v>
      </c>
      <c r="F1176" s="3" t="s">
        <v>3853</v>
      </c>
      <c r="G1176" s="3" t="s">
        <v>3854</v>
      </c>
      <c r="H1176" s="2" t="str">
        <f>"2012"</f>
        <v>2012</v>
      </c>
      <c r="I1176" t="s">
        <v>14</v>
      </c>
      <c r="J1176" t="s">
        <v>15</v>
      </c>
    </row>
    <row r="1177" spans="1:10">
      <c r="A1177" s="2" t="str">
        <f>"1174"</f>
        <v>1174</v>
      </c>
      <c r="B1177" s="2" t="s">
        <v>9</v>
      </c>
      <c r="C1177" s="2" t="str">
        <f>"1 (1)"</f>
        <v>1 (1)</v>
      </c>
      <c r="D1177" s="2" t="s">
        <v>3855</v>
      </c>
      <c r="E1177" s="5" t="s">
        <v>3856</v>
      </c>
      <c r="F1177" s="3" t="s">
        <v>3857</v>
      </c>
      <c r="G1177" s="3" t="s">
        <v>2500</v>
      </c>
      <c r="H1177" s="2" t="str">
        <f>"2012"</f>
        <v>2012</v>
      </c>
      <c r="I1177" t="s">
        <v>14</v>
      </c>
      <c r="J1177" t="s">
        <v>15</v>
      </c>
    </row>
    <row r="1178" spans="1:10">
      <c r="A1178" s="2" t="str">
        <f>"1175"</f>
        <v>1175</v>
      </c>
      <c r="B1178" s="2" t="s">
        <v>9</v>
      </c>
      <c r="C1178" s="2" t="str">
        <f>"1 (1)"</f>
        <v>1 (1)</v>
      </c>
      <c r="D1178" s="2" t="s">
        <v>3858</v>
      </c>
      <c r="E1178" s="5" t="s">
        <v>3859</v>
      </c>
      <c r="F1178" s="3" t="s">
        <v>3860</v>
      </c>
      <c r="G1178" s="3" t="s">
        <v>1143</v>
      </c>
      <c r="H1178" s="2" t="str">
        <f>"2012"</f>
        <v>2012</v>
      </c>
      <c r="I1178" t="s">
        <v>14</v>
      </c>
      <c r="J1178" t="s">
        <v>15</v>
      </c>
    </row>
    <row r="1179" spans="1:10">
      <c r="A1179" s="2" t="str">
        <f>"1176"</f>
        <v>1176</v>
      </c>
      <c r="B1179" s="2" t="s">
        <v>9</v>
      </c>
      <c r="C1179" s="2" t="str">
        <f>"1 (1)"</f>
        <v>1 (1)</v>
      </c>
      <c r="D1179" s="2" t="s">
        <v>3861</v>
      </c>
      <c r="E1179" s="5" t="s">
        <v>3862</v>
      </c>
      <c r="F1179" s="3" t="s">
        <v>3863</v>
      </c>
      <c r="G1179" s="3" t="s">
        <v>3864</v>
      </c>
      <c r="H1179" s="2" t="str">
        <f>"2012"</f>
        <v>2012</v>
      </c>
      <c r="I1179" t="s">
        <v>14</v>
      </c>
      <c r="J1179" t="s">
        <v>15</v>
      </c>
    </row>
    <row r="1180" spans="1:10">
      <c r="A1180" s="2" t="str">
        <f>"1177"</f>
        <v>1177</v>
      </c>
      <c r="B1180" s="2" t="s">
        <v>9</v>
      </c>
      <c r="C1180" s="2" t="str">
        <f>"1 (1)"</f>
        <v>1 (1)</v>
      </c>
      <c r="D1180" s="2" t="s">
        <v>3865</v>
      </c>
      <c r="E1180" s="5" t="s">
        <v>3866</v>
      </c>
      <c r="F1180" s="3" t="s">
        <v>3867</v>
      </c>
      <c r="G1180" s="3" t="s">
        <v>3868</v>
      </c>
      <c r="H1180" s="2" t="str">
        <f>"2012"</f>
        <v>2012</v>
      </c>
      <c r="I1180" t="s">
        <v>14</v>
      </c>
      <c r="J1180" t="s">
        <v>15</v>
      </c>
    </row>
    <row r="1181" spans="1:10">
      <c r="A1181" s="2" t="str">
        <f>"1178"</f>
        <v>1178</v>
      </c>
      <c r="B1181" s="2" t="s">
        <v>9</v>
      </c>
      <c r="C1181" s="2" t="str">
        <f>"1 (1)"</f>
        <v>1 (1)</v>
      </c>
      <c r="D1181" s="2" t="s">
        <v>3869</v>
      </c>
      <c r="E1181" s="5" t="s">
        <v>3870</v>
      </c>
      <c r="F1181" s="3" t="s">
        <v>3871</v>
      </c>
      <c r="G1181" s="3" t="s">
        <v>3872</v>
      </c>
      <c r="H1181" s="2" t="str">
        <f>"2012"</f>
        <v>2012</v>
      </c>
      <c r="I1181" t="s">
        <v>14</v>
      </c>
      <c r="J1181" t="s">
        <v>15</v>
      </c>
    </row>
    <row r="1182" spans="1:10">
      <c r="A1182" s="2" t="str">
        <f>"1179"</f>
        <v>1179</v>
      </c>
      <c r="B1182" s="2" t="s">
        <v>9</v>
      </c>
      <c r="C1182" s="2" t="str">
        <f>"1 (1)"</f>
        <v>1 (1)</v>
      </c>
      <c r="D1182" s="2" t="s">
        <v>3873</v>
      </c>
      <c r="E1182" s="5" t="s">
        <v>3874</v>
      </c>
      <c r="F1182" s="3" t="s">
        <v>3875</v>
      </c>
      <c r="G1182" s="3" t="s">
        <v>3504</v>
      </c>
      <c r="H1182" s="2" t="str">
        <f>"2012"</f>
        <v>2012</v>
      </c>
      <c r="I1182" t="s">
        <v>14</v>
      </c>
      <c r="J1182" t="s">
        <v>15</v>
      </c>
    </row>
    <row r="1183" spans="1:10">
      <c r="A1183" s="2" t="str">
        <f>"1180"</f>
        <v>1180</v>
      </c>
      <c r="B1183" s="2" t="s">
        <v>9</v>
      </c>
      <c r="C1183" s="2" t="str">
        <f>"1 (1)"</f>
        <v>1 (1)</v>
      </c>
      <c r="D1183" s="2" t="s">
        <v>3876</v>
      </c>
      <c r="E1183" s="5" t="s">
        <v>3877</v>
      </c>
      <c r="F1183" s="3" t="s">
        <v>3878</v>
      </c>
      <c r="G1183" s="3" t="s">
        <v>3879</v>
      </c>
      <c r="H1183" s="2" t="str">
        <f>"2012"</f>
        <v>2012</v>
      </c>
      <c r="I1183" t="s">
        <v>14</v>
      </c>
      <c r="J1183" t="s">
        <v>15</v>
      </c>
    </row>
    <row r="1184" spans="1:10">
      <c r="A1184" s="2" t="str">
        <f>"1181"</f>
        <v>1181</v>
      </c>
      <c r="B1184" s="2" t="s">
        <v>9</v>
      </c>
      <c r="C1184" s="2" t="str">
        <f>"1 (1)"</f>
        <v>1 (1)</v>
      </c>
      <c r="D1184" s="2" t="s">
        <v>3880</v>
      </c>
      <c r="E1184" s="5" t="s">
        <v>3881</v>
      </c>
      <c r="F1184" s="3" t="s">
        <v>3882</v>
      </c>
      <c r="G1184" s="3" t="s">
        <v>2822</v>
      </c>
      <c r="H1184" s="2" t="str">
        <f>"2012"</f>
        <v>2012</v>
      </c>
      <c r="I1184" t="s">
        <v>14</v>
      </c>
      <c r="J1184" t="s">
        <v>15</v>
      </c>
    </row>
    <row r="1185" spans="1:10">
      <c r="A1185" s="2" t="str">
        <f>"1182"</f>
        <v>1182</v>
      </c>
      <c r="B1185" s="2" t="s">
        <v>9</v>
      </c>
      <c r="C1185" s="2" t="str">
        <f>"1 (1)"</f>
        <v>1 (1)</v>
      </c>
      <c r="D1185" s="2" t="s">
        <v>3883</v>
      </c>
      <c r="E1185" s="5" t="s">
        <v>3884</v>
      </c>
      <c r="F1185" s="3" t="s">
        <v>3885</v>
      </c>
      <c r="G1185" s="3" t="s">
        <v>3886</v>
      </c>
      <c r="H1185" s="2" t="str">
        <f>"2012"</f>
        <v>2012</v>
      </c>
      <c r="I1185" t="s">
        <v>14</v>
      </c>
      <c r="J1185" t="s">
        <v>15</v>
      </c>
    </row>
    <row r="1186" spans="1:10">
      <c r="A1186" s="2" t="str">
        <f>"1183"</f>
        <v>1183</v>
      </c>
      <c r="B1186" s="2" t="s">
        <v>9</v>
      </c>
      <c r="C1186" s="2" t="str">
        <f>"1 (1)"</f>
        <v>1 (1)</v>
      </c>
      <c r="D1186" s="2" t="s">
        <v>3887</v>
      </c>
      <c r="E1186" s="5" t="s">
        <v>3888</v>
      </c>
      <c r="F1186" s="3" t="s">
        <v>3889</v>
      </c>
      <c r="G1186" s="3" t="str">
        <f>"21세기북스"</f>
        <v>21세기북스</v>
      </c>
      <c r="H1186" s="2" t="str">
        <f>"2012"</f>
        <v>2012</v>
      </c>
      <c r="I1186" t="s">
        <v>14</v>
      </c>
      <c r="J1186" t="s">
        <v>15</v>
      </c>
    </row>
    <row r="1187" spans="1:10">
      <c r="A1187" s="2" t="str">
        <f>"1184"</f>
        <v>1184</v>
      </c>
      <c r="B1187" s="2" t="s">
        <v>9</v>
      </c>
      <c r="C1187" s="2" t="str">
        <f>"1 (1)"</f>
        <v>1 (1)</v>
      </c>
      <c r="D1187" s="2" t="s">
        <v>3890</v>
      </c>
      <c r="E1187" s="5" t="s">
        <v>3891</v>
      </c>
      <c r="F1187" s="3" t="s">
        <v>3892</v>
      </c>
      <c r="G1187" s="3" t="s">
        <v>3893</v>
      </c>
      <c r="H1187" s="2" t="str">
        <f>"2012"</f>
        <v>2012</v>
      </c>
      <c r="I1187" t="s">
        <v>14</v>
      </c>
      <c r="J1187" t="s">
        <v>15</v>
      </c>
    </row>
    <row r="1188" spans="1:10">
      <c r="A1188" s="2" t="str">
        <f>"1185"</f>
        <v>1185</v>
      </c>
      <c r="B1188" s="2" t="s">
        <v>9</v>
      </c>
      <c r="C1188" s="2" t="str">
        <f>"1 (1)"</f>
        <v>1 (1)</v>
      </c>
      <c r="D1188" s="2" t="s">
        <v>3894</v>
      </c>
      <c r="E1188" s="5" t="s">
        <v>3895</v>
      </c>
      <c r="F1188" s="3" t="s">
        <v>3896</v>
      </c>
      <c r="G1188" s="3" t="s">
        <v>3808</v>
      </c>
      <c r="H1188" s="2" t="str">
        <f>"2012"</f>
        <v>2012</v>
      </c>
      <c r="I1188" t="s">
        <v>14</v>
      </c>
      <c r="J1188" t="s">
        <v>15</v>
      </c>
    </row>
    <row r="1189" spans="1:10">
      <c r="A1189" s="2" t="str">
        <f>"1186"</f>
        <v>1186</v>
      </c>
      <c r="B1189" s="2" t="s">
        <v>9</v>
      </c>
      <c r="C1189" s="2" t="str">
        <f>"1 (1)"</f>
        <v>1 (1)</v>
      </c>
      <c r="D1189" s="2" t="s">
        <v>3897</v>
      </c>
      <c r="E1189" s="5" t="s">
        <v>3898</v>
      </c>
      <c r="F1189" s="3" t="s">
        <v>3899</v>
      </c>
      <c r="G1189" s="3" t="s">
        <v>3834</v>
      </c>
      <c r="H1189" s="2" t="str">
        <f>"2012"</f>
        <v>2012</v>
      </c>
      <c r="I1189" t="s">
        <v>14</v>
      </c>
      <c r="J1189" t="s">
        <v>15</v>
      </c>
    </row>
    <row r="1190" spans="1:10">
      <c r="A1190" s="2" t="str">
        <f>"1187"</f>
        <v>1187</v>
      </c>
      <c r="B1190" s="2" t="s">
        <v>9</v>
      </c>
      <c r="C1190" s="2" t="str">
        <f>"1 (1)"</f>
        <v>1 (1)</v>
      </c>
      <c r="D1190" s="2" t="s">
        <v>3900</v>
      </c>
      <c r="E1190" s="5" t="s">
        <v>3901</v>
      </c>
      <c r="F1190" s="3" t="s">
        <v>3902</v>
      </c>
      <c r="G1190" s="3" t="s">
        <v>3903</v>
      </c>
      <c r="H1190" s="2" t="str">
        <f>"2012"</f>
        <v>2012</v>
      </c>
      <c r="I1190" t="s">
        <v>14</v>
      </c>
      <c r="J1190" t="s">
        <v>15</v>
      </c>
    </row>
    <row r="1191" spans="1:10">
      <c r="A1191" s="2" t="str">
        <f>"1188"</f>
        <v>1188</v>
      </c>
      <c r="B1191" s="2" t="s">
        <v>9</v>
      </c>
      <c r="C1191" s="2" t="str">
        <f>"1 (1)"</f>
        <v>1 (1)</v>
      </c>
      <c r="D1191" s="2" t="s">
        <v>3904</v>
      </c>
      <c r="E1191" s="5" t="s">
        <v>3905</v>
      </c>
      <c r="F1191" s="3" t="s">
        <v>3906</v>
      </c>
      <c r="G1191" s="3" t="s">
        <v>3614</v>
      </c>
      <c r="H1191" s="2" t="str">
        <f>"2005"</f>
        <v>2005</v>
      </c>
      <c r="I1191" t="s">
        <v>14</v>
      </c>
      <c r="J1191" t="s">
        <v>15</v>
      </c>
    </row>
    <row r="1192" spans="1:10">
      <c r="A1192" s="2" t="str">
        <f>"1189"</f>
        <v>1189</v>
      </c>
      <c r="B1192" s="2" t="s">
        <v>9</v>
      </c>
      <c r="C1192" s="2" t="str">
        <f>"1 (1)"</f>
        <v>1 (1)</v>
      </c>
      <c r="D1192" s="2" t="s">
        <v>3907</v>
      </c>
      <c r="E1192" s="5" t="s">
        <v>3908</v>
      </c>
      <c r="F1192" s="3" t="s">
        <v>3909</v>
      </c>
      <c r="G1192" s="3" t="s">
        <v>3614</v>
      </c>
      <c r="H1192" s="2" t="str">
        <f>"2012"</f>
        <v>2012</v>
      </c>
      <c r="I1192" t="s">
        <v>14</v>
      </c>
      <c r="J1192" t="s">
        <v>15</v>
      </c>
    </row>
    <row r="1193" spans="1:10">
      <c r="A1193" s="2" t="str">
        <f>"1190"</f>
        <v>1190</v>
      </c>
      <c r="B1193" s="2" t="s">
        <v>9</v>
      </c>
      <c r="C1193" s="2" t="str">
        <f>"1 (1)"</f>
        <v>1 (1)</v>
      </c>
      <c r="D1193" s="2" t="s">
        <v>3910</v>
      </c>
      <c r="E1193" s="5" t="s">
        <v>3911</v>
      </c>
      <c r="F1193" s="3" t="s">
        <v>3912</v>
      </c>
      <c r="G1193" s="3" t="s">
        <v>3913</v>
      </c>
      <c r="H1193" s="2" t="str">
        <f>"2012"</f>
        <v>2012</v>
      </c>
      <c r="I1193" t="s">
        <v>14</v>
      </c>
      <c r="J1193" t="s">
        <v>15</v>
      </c>
    </row>
    <row r="1194" spans="1:10">
      <c r="A1194" s="2" t="str">
        <f>"1191"</f>
        <v>1191</v>
      </c>
      <c r="B1194" s="2" t="s">
        <v>9</v>
      </c>
      <c r="C1194" s="2" t="str">
        <f>"1 (1)"</f>
        <v>1 (1)</v>
      </c>
      <c r="D1194" s="2" t="s">
        <v>3914</v>
      </c>
      <c r="E1194" s="5" t="s">
        <v>3915</v>
      </c>
      <c r="F1194" s="3" t="s">
        <v>3916</v>
      </c>
      <c r="G1194" s="3" t="s">
        <v>3917</v>
      </c>
      <c r="H1194" s="2" t="str">
        <f>"2012"</f>
        <v>2012</v>
      </c>
      <c r="I1194" t="s">
        <v>14</v>
      </c>
      <c r="J1194" t="s">
        <v>15</v>
      </c>
    </row>
    <row r="1195" spans="1:10">
      <c r="A1195" s="2" t="str">
        <f>"1192"</f>
        <v>1192</v>
      </c>
      <c r="B1195" s="2" t="s">
        <v>9</v>
      </c>
      <c r="C1195" s="2" t="str">
        <f>"1 (1)"</f>
        <v>1 (1)</v>
      </c>
      <c r="D1195" s="2" t="s">
        <v>3918</v>
      </c>
      <c r="E1195" s="5" t="s">
        <v>3919</v>
      </c>
      <c r="F1195" s="3" t="s">
        <v>3920</v>
      </c>
      <c r="G1195" s="3" t="s">
        <v>3921</v>
      </c>
      <c r="H1195" s="2" t="str">
        <f>"2012"</f>
        <v>2012</v>
      </c>
      <c r="I1195" t="s">
        <v>14</v>
      </c>
      <c r="J1195" t="s">
        <v>15</v>
      </c>
    </row>
    <row r="1196" spans="1:10">
      <c r="A1196" s="2" t="str">
        <f>"1193"</f>
        <v>1193</v>
      </c>
      <c r="B1196" s="2" t="s">
        <v>9</v>
      </c>
      <c r="C1196" s="2" t="str">
        <f>"1 (1)"</f>
        <v>1 (1)</v>
      </c>
      <c r="D1196" s="2" t="s">
        <v>3922</v>
      </c>
      <c r="E1196" s="5" t="s">
        <v>3923</v>
      </c>
      <c r="F1196" s="3" t="s">
        <v>3924</v>
      </c>
      <c r="G1196" s="3" t="s">
        <v>3925</v>
      </c>
      <c r="H1196" s="2" t="str">
        <f>"2012"</f>
        <v>2012</v>
      </c>
      <c r="I1196" t="s">
        <v>14</v>
      </c>
      <c r="J1196" t="s">
        <v>15</v>
      </c>
    </row>
    <row r="1197" spans="1:10">
      <c r="A1197" s="2" t="str">
        <f>"1194"</f>
        <v>1194</v>
      </c>
      <c r="B1197" s="2" t="s">
        <v>9</v>
      </c>
      <c r="C1197" s="2" t="str">
        <f>"1 (1)"</f>
        <v>1 (1)</v>
      </c>
      <c r="D1197" s="2" t="s">
        <v>3926</v>
      </c>
      <c r="E1197" s="5" t="s">
        <v>3927</v>
      </c>
      <c r="F1197" s="3" t="s">
        <v>3928</v>
      </c>
      <c r="G1197" s="3" t="s">
        <v>3929</v>
      </c>
      <c r="H1197" s="2" t="str">
        <f>"2012"</f>
        <v>2012</v>
      </c>
      <c r="I1197" t="s">
        <v>14</v>
      </c>
      <c r="J1197" t="s">
        <v>15</v>
      </c>
    </row>
    <row r="1198" spans="1:10">
      <c r="A1198" s="2" t="str">
        <f>"1195"</f>
        <v>1195</v>
      </c>
      <c r="B1198" s="2" t="s">
        <v>9</v>
      </c>
      <c r="C1198" s="2" t="str">
        <f>"1 (1)"</f>
        <v>1 (1)</v>
      </c>
      <c r="D1198" s="2" t="s">
        <v>3930</v>
      </c>
      <c r="E1198" s="5" t="s">
        <v>3931</v>
      </c>
      <c r="F1198" s="3" t="s">
        <v>3932</v>
      </c>
      <c r="G1198" s="3" t="s">
        <v>3933</v>
      </c>
      <c r="H1198" s="2" t="str">
        <f>"2012"</f>
        <v>2012</v>
      </c>
      <c r="I1198" t="s">
        <v>14</v>
      </c>
      <c r="J1198" t="s">
        <v>15</v>
      </c>
    </row>
    <row r="1199" spans="1:10">
      <c r="A1199" s="2" t="str">
        <f>"1196"</f>
        <v>1196</v>
      </c>
      <c r="B1199" s="2" t="s">
        <v>9</v>
      </c>
      <c r="C1199" s="2" t="str">
        <f>"1 (1)"</f>
        <v>1 (1)</v>
      </c>
      <c r="D1199" s="2" t="s">
        <v>3934</v>
      </c>
      <c r="E1199" s="5" t="s">
        <v>3935</v>
      </c>
      <c r="F1199" s="3" t="s">
        <v>3936</v>
      </c>
      <c r="G1199" s="3" t="s">
        <v>3937</v>
      </c>
      <c r="H1199" s="2" t="str">
        <f>"2012"</f>
        <v>2012</v>
      </c>
      <c r="I1199" t="s">
        <v>14</v>
      </c>
      <c r="J1199" t="s">
        <v>15</v>
      </c>
    </row>
    <row r="1200" spans="1:10">
      <c r="A1200" s="2" t="str">
        <f>"1197"</f>
        <v>1197</v>
      </c>
      <c r="B1200" s="2" t="s">
        <v>9</v>
      </c>
      <c r="C1200" s="2" t="str">
        <f>"1 (1)"</f>
        <v>1 (1)</v>
      </c>
      <c r="D1200" s="2" t="s">
        <v>3938</v>
      </c>
      <c r="E1200" s="5" t="s">
        <v>3939</v>
      </c>
      <c r="F1200" s="3" t="s">
        <v>3940</v>
      </c>
      <c r="G1200" s="3" t="s">
        <v>3941</v>
      </c>
      <c r="H1200" s="2" t="str">
        <f>"2012"</f>
        <v>2012</v>
      </c>
      <c r="I1200" t="s">
        <v>14</v>
      </c>
      <c r="J1200" t="s">
        <v>15</v>
      </c>
    </row>
    <row r="1201" spans="1:10">
      <c r="A1201" s="2" t="str">
        <f>"1198"</f>
        <v>1198</v>
      </c>
      <c r="B1201" s="2" t="s">
        <v>9</v>
      </c>
      <c r="C1201" s="2" t="str">
        <f>"1 (1)"</f>
        <v>1 (1)</v>
      </c>
      <c r="D1201" s="2" t="s">
        <v>3942</v>
      </c>
      <c r="E1201" s="5" t="s">
        <v>3943</v>
      </c>
      <c r="F1201" s="3" t="s">
        <v>3944</v>
      </c>
      <c r="G1201" s="3" t="s">
        <v>3945</v>
      </c>
      <c r="H1201" s="2" t="str">
        <f>"2012"</f>
        <v>2012</v>
      </c>
      <c r="I1201" t="s">
        <v>14</v>
      </c>
      <c r="J1201" t="s">
        <v>15</v>
      </c>
    </row>
    <row r="1202" spans="1:10">
      <c r="A1202" s="2" t="str">
        <f>"1199"</f>
        <v>1199</v>
      </c>
      <c r="B1202" s="2" t="s">
        <v>9</v>
      </c>
      <c r="C1202" s="2" t="str">
        <f>"1 (1)"</f>
        <v>1 (1)</v>
      </c>
      <c r="D1202" s="2" t="s">
        <v>3946</v>
      </c>
      <c r="E1202" s="5" t="s">
        <v>3947</v>
      </c>
      <c r="F1202" s="3" t="s">
        <v>3948</v>
      </c>
      <c r="G1202" s="3" t="s">
        <v>3766</v>
      </c>
      <c r="H1202" s="2" t="str">
        <f>"2012"</f>
        <v>2012</v>
      </c>
      <c r="I1202" t="s">
        <v>14</v>
      </c>
      <c r="J1202" t="s">
        <v>15</v>
      </c>
    </row>
    <row r="1203" spans="1:10">
      <c r="A1203" s="2" t="str">
        <f>"1200"</f>
        <v>1200</v>
      </c>
      <c r="B1203" s="2" t="s">
        <v>9</v>
      </c>
      <c r="C1203" s="2" t="str">
        <f>"1 (1)"</f>
        <v>1 (1)</v>
      </c>
      <c r="D1203" s="2" t="s">
        <v>3949</v>
      </c>
      <c r="E1203" s="5" t="s">
        <v>3950</v>
      </c>
      <c r="F1203" s="3" t="s">
        <v>3951</v>
      </c>
      <c r="G1203" s="3" t="s">
        <v>3614</v>
      </c>
      <c r="H1203" s="2" t="str">
        <f>"2008"</f>
        <v>2008</v>
      </c>
      <c r="I1203" t="s">
        <v>14</v>
      </c>
      <c r="J1203" t="s">
        <v>15</v>
      </c>
    </row>
    <row r="1204" spans="1:10">
      <c r="A1204" s="2" t="str">
        <f>"1201"</f>
        <v>1201</v>
      </c>
      <c r="B1204" s="2" t="s">
        <v>9</v>
      </c>
      <c r="C1204" s="2" t="str">
        <f>"1 (1)"</f>
        <v>1 (1)</v>
      </c>
      <c r="D1204" s="2" t="s">
        <v>3952</v>
      </c>
      <c r="E1204" s="5" t="s">
        <v>3953</v>
      </c>
      <c r="F1204" s="3" t="s">
        <v>3954</v>
      </c>
      <c r="G1204" s="3" t="s">
        <v>3929</v>
      </c>
      <c r="H1204" s="2" t="str">
        <f>"2012"</f>
        <v>2012</v>
      </c>
      <c r="I1204" t="s">
        <v>14</v>
      </c>
      <c r="J1204" t="s">
        <v>15</v>
      </c>
    </row>
    <row r="1205" spans="1:10">
      <c r="A1205" s="2" t="str">
        <f>"1202"</f>
        <v>1202</v>
      </c>
      <c r="B1205" s="2" t="s">
        <v>9</v>
      </c>
      <c r="C1205" s="2" t="str">
        <f>"1 (1)"</f>
        <v>1 (1)</v>
      </c>
      <c r="D1205" s="2" t="s">
        <v>3955</v>
      </c>
      <c r="E1205" s="5" t="s">
        <v>3956</v>
      </c>
      <c r="F1205" s="3" t="s">
        <v>3957</v>
      </c>
      <c r="G1205" s="3" t="s">
        <v>3958</v>
      </c>
      <c r="H1205" s="2" t="str">
        <f>"2012"</f>
        <v>2012</v>
      </c>
      <c r="I1205" t="s">
        <v>14</v>
      </c>
      <c r="J1205" t="s">
        <v>15</v>
      </c>
    </row>
    <row r="1206" spans="1:10">
      <c r="A1206" s="2" t="str">
        <f>"1203"</f>
        <v>1203</v>
      </c>
      <c r="B1206" s="2" t="s">
        <v>9</v>
      </c>
      <c r="C1206" s="2" t="str">
        <f>"1 (1)"</f>
        <v>1 (1)</v>
      </c>
      <c r="D1206" s="2" t="s">
        <v>3959</v>
      </c>
      <c r="E1206" s="5" t="s">
        <v>3960</v>
      </c>
      <c r="F1206" s="3" t="s">
        <v>3961</v>
      </c>
      <c r="G1206" s="3" t="s">
        <v>138</v>
      </c>
      <c r="H1206" s="2" t="str">
        <f>"2008"</f>
        <v>2008</v>
      </c>
      <c r="I1206" t="s">
        <v>14</v>
      </c>
      <c r="J1206" t="s">
        <v>15</v>
      </c>
    </row>
    <row r="1207" spans="1:10">
      <c r="A1207" s="2" t="str">
        <f>"1204"</f>
        <v>1204</v>
      </c>
      <c r="B1207" s="2" t="s">
        <v>9</v>
      </c>
      <c r="C1207" s="2" t="str">
        <f>"1 (1)"</f>
        <v>1 (1)</v>
      </c>
      <c r="D1207" s="2" t="s">
        <v>3962</v>
      </c>
      <c r="E1207" s="5" t="s">
        <v>3963</v>
      </c>
      <c r="F1207" s="3" t="s">
        <v>3964</v>
      </c>
      <c r="G1207" s="3" t="s">
        <v>3965</v>
      </c>
      <c r="H1207" s="2" t="str">
        <f>"2012"</f>
        <v>2012</v>
      </c>
      <c r="I1207" t="s">
        <v>14</v>
      </c>
      <c r="J1207" t="s">
        <v>15</v>
      </c>
    </row>
    <row r="1208" spans="1:10">
      <c r="A1208" s="2" t="str">
        <f>"1205"</f>
        <v>1205</v>
      </c>
      <c r="B1208" s="2" t="s">
        <v>9</v>
      </c>
      <c r="C1208" s="2" t="str">
        <f>"1 (1)"</f>
        <v>1 (1)</v>
      </c>
      <c r="D1208" s="2" t="s">
        <v>3966</v>
      </c>
      <c r="E1208" s="5" t="s">
        <v>3967</v>
      </c>
      <c r="F1208" s="3" t="s">
        <v>3968</v>
      </c>
      <c r="G1208" s="3" t="s">
        <v>2421</v>
      </c>
      <c r="H1208" s="2" t="str">
        <f>"2012"</f>
        <v>2012</v>
      </c>
      <c r="I1208" t="s">
        <v>14</v>
      </c>
      <c r="J1208" t="s">
        <v>15</v>
      </c>
    </row>
    <row r="1209" spans="1:10">
      <c r="A1209" s="2" t="str">
        <f>"1206"</f>
        <v>1206</v>
      </c>
      <c r="B1209" s="2" t="s">
        <v>9</v>
      </c>
      <c r="C1209" s="2" t="str">
        <f>"1 (1)"</f>
        <v>1 (1)</v>
      </c>
      <c r="D1209" s="2" t="s">
        <v>3969</v>
      </c>
      <c r="E1209" s="5" t="s">
        <v>3970</v>
      </c>
      <c r="F1209" s="3" t="s">
        <v>3971</v>
      </c>
      <c r="G1209" s="3" t="s">
        <v>2720</v>
      </c>
      <c r="H1209" s="2" t="str">
        <f>"2012"</f>
        <v>2012</v>
      </c>
      <c r="I1209" t="s">
        <v>14</v>
      </c>
      <c r="J1209" t="s">
        <v>15</v>
      </c>
    </row>
    <row r="1210" spans="1:10">
      <c r="A1210" s="2" t="str">
        <f>"1207"</f>
        <v>1207</v>
      </c>
      <c r="B1210" s="2" t="s">
        <v>9</v>
      </c>
      <c r="C1210" s="2" t="str">
        <f>"1 (1)"</f>
        <v>1 (1)</v>
      </c>
      <c r="D1210" s="2" t="s">
        <v>3972</v>
      </c>
      <c r="E1210" s="5" t="s">
        <v>3973</v>
      </c>
      <c r="F1210" s="3" t="s">
        <v>3974</v>
      </c>
      <c r="G1210" s="3" t="s">
        <v>3975</v>
      </c>
      <c r="H1210" s="2" t="str">
        <f>"2012"</f>
        <v>2012</v>
      </c>
      <c r="I1210" t="s">
        <v>14</v>
      </c>
      <c r="J1210" t="s">
        <v>15</v>
      </c>
    </row>
    <row r="1211" spans="1:10">
      <c r="A1211" s="2" t="str">
        <f>"1208"</f>
        <v>1208</v>
      </c>
      <c r="B1211" s="2" t="s">
        <v>9</v>
      </c>
      <c r="C1211" s="2" t="str">
        <f>"1 (1)"</f>
        <v>1 (1)</v>
      </c>
      <c r="D1211" s="2" t="s">
        <v>3976</v>
      </c>
      <c r="E1211" s="5" t="s">
        <v>3977</v>
      </c>
      <c r="F1211" s="3" t="s">
        <v>3978</v>
      </c>
      <c r="G1211" s="3" t="s">
        <v>2110</v>
      </c>
      <c r="H1211" s="2" t="str">
        <f>"2012"</f>
        <v>2012</v>
      </c>
      <c r="I1211" t="s">
        <v>14</v>
      </c>
      <c r="J1211" t="s">
        <v>15</v>
      </c>
    </row>
    <row r="1212" spans="1:10">
      <c r="A1212" s="2" t="str">
        <f>"1209"</f>
        <v>1209</v>
      </c>
      <c r="B1212" s="2" t="s">
        <v>9</v>
      </c>
      <c r="C1212" s="2" t="str">
        <f>"1 (1)"</f>
        <v>1 (1)</v>
      </c>
      <c r="D1212" s="2" t="s">
        <v>3979</v>
      </c>
      <c r="E1212" s="5" t="s">
        <v>3980</v>
      </c>
      <c r="F1212" s="3" t="s">
        <v>3981</v>
      </c>
      <c r="G1212" s="3" t="s">
        <v>2746</v>
      </c>
      <c r="H1212" s="2" t="str">
        <f>"22 cm"</f>
        <v>22 cm</v>
      </c>
      <c r="I1212" t="s">
        <v>14</v>
      </c>
      <c r="J1212" t="s">
        <v>15</v>
      </c>
    </row>
    <row r="1213" spans="1:10">
      <c r="A1213" s="2" t="str">
        <f>"1210"</f>
        <v>1210</v>
      </c>
      <c r="B1213" s="2" t="s">
        <v>9</v>
      </c>
      <c r="C1213" s="2" t="str">
        <f>"1 (1)"</f>
        <v>1 (1)</v>
      </c>
      <c r="D1213" s="2" t="s">
        <v>3982</v>
      </c>
      <c r="E1213" s="5" t="s">
        <v>3983</v>
      </c>
      <c r="F1213" s="3" t="s">
        <v>3984</v>
      </c>
      <c r="G1213" s="3" t="s">
        <v>2110</v>
      </c>
      <c r="H1213" s="2" t="str">
        <f>"2012"</f>
        <v>2012</v>
      </c>
      <c r="I1213" t="s">
        <v>14</v>
      </c>
      <c r="J1213" t="s">
        <v>15</v>
      </c>
    </row>
    <row r="1214" spans="1:10">
      <c r="A1214" s="2" t="str">
        <f>"1211"</f>
        <v>1211</v>
      </c>
      <c r="B1214" s="2" t="s">
        <v>9</v>
      </c>
      <c r="C1214" s="2" t="str">
        <f>"1 (1)"</f>
        <v>1 (1)</v>
      </c>
      <c r="D1214" s="2" t="s">
        <v>3985</v>
      </c>
      <c r="E1214" s="5" t="s">
        <v>3986</v>
      </c>
      <c r="F1214" s="3" t="s">
        <v>3987</v>
      </c>
      <c r="G1214" s="3" t="s">
        <v>2118</v>
      </c>
      <c r="H1214" s="2" t="str">
        <f>"2012"</f>
        <v>2012</v>
      </c>
      <c r="I1214" t="s">
        <v>14</v>
      </c>
      <c r="J1214" t="s">
        <v>15</v>
      </c>
    </row>
    <row r="1215" spans="1:10">
      <c r="A1215" s="2" t="str">
        <f>"1212"</f>
        <v>1212</v>
      </c>
      <c r="B1215" s="2" t="s">
        <v>9</v>
      </c>
      <c r="C1215" s="2" t="str">
        <f>"1 (1)"</f>
        <v>1 (1)</v>
      </c>
      <c r="D1215" s="2" t="s">
        <v>3988</v>
      </c>
      <c r="E1215" s="5" t="s">
        <v>3989</v>
      </c>
      <c r="F1215" s="3" t="s">
        <v>3990</v>
      </c>
      <c r="G1215" s="3" t="s">
        <v>3929</v>
      </c>
      <c r="H1215" s="2" t="str">
        <f>"2012"</f>
        <v>2012</v>
      </c>
      <c r="I1215" t="s">
        <v>14</v>
      </c>
      <c r="J1215" t="s">
        <v>15</v>
      </c>
    </row>
    <row r="1216" spans="1:10">
      <c r="A1216" s="2" t="str">
        <f>"1213"</f>
        <v>1213</v>
      </c>
      <c r="B1216" s="2" t="s">
        <v>9</v>
      </c>
      <c r="C1216" s="2" t="str">
        <f>"1 (1)"</f>
        <v>1 (1)</v>
      </c>
      <c r="D1216" s="2" t="s">
        <v>3991</v>
      </c>
      <c r="E1216" s="5" t="s">
        <v>3992</v>
      </c>
      <c r="F1216" s="3" t="s">
        <v>3990</v>
      </c>
      <c r="G1216" s="3" t="s">
        <v>3929</v>
      </c>
      <c r="H1216" s="2" t="str">
        <f>"2012"</f>
        <v>2012</v>
      </c>
      <c r="I1216" t="s">
        <v>14</v>
      </c>
      <c r="J1216" t="s">
        <v>15</v>
      </c>
    </row>
    <row r="1217" spans="1:10">
      <c r="A1217" s="2" t="str">
        <f>"1214"</f>
        <v>1214</v>
      </c>
      <c r="B1217" s="2" t="s">
        <v>9</v>
      </c>
      <c r="C1217" s="2" t="str">
        <f>"1 (1)"</f>
        <v>1 (1)</v>
      </c>
      <c r="D1217" s="2" t="s">
        <v>3993</v>
      </c>
      <c r="E1217" s="5" t="s">
        <v>3994</v>
      </c>
      <c r="F1217" s="3" t="s">
        <v>3995</v>
      </c>
      <c r="G1217" s="3" t="s">
        <v>2438</v>
      </c>
      <c r="H1217" s="2" t="str">
        <f>"2012"</f>
        <v>2012</v>
      </c>
      <c r="I1217" t="s">
        <v>14</v>
      </c>
      <c r="J1217" t="s">
        <v>15</v>
      </c>
    </row>
    <row r="1218" spans="1:10">
      <c r="A1218" s="2" t="str">
        <f>"1215"</f>
        <v>1215</v>
      </c>
      <c r="B1218" s="2" t="s">
        <v>9</v>
      </c>
      <c r="C1218" s="2" t="str">
        <f>"1 (1)"</f>
        <v>1 (1)</v>
      </c>
      <c r="D1218" s="2" t="s">
        <v>3996</v>
      </c>
      <c r="E1218" s="5" t="s">
        <v>3997</v>
      </c>
      <c r="F1218" s="3" t="s">
        <v>3998</v>
      </c>
      <c r="G1218" s="3" t="s">
        <v>3999</v>
      </c>
      <c r="H1218" s="2" t="str">
        <f>"2012"</f>
        <v>2012</v>
      </c>
      <c r="I1218" t="s">
        <v>14</v>
      </c>
      <c r="J1218" t="s">
        <v>15</v>
      </c>
    </row>
    <row r="1219" spans="1:10">
      <c r="A1219" s="2" t="str">
        <f>"1216"</f>
        <v>1216</v>
      </c>
      <c r="B1219" s="2" t="s">
        <v>9</v>
      </c>
      <c r="C1219" s="2" t="str">
        <f>"1 (1)"</f>
        <v>1 (1)</v>
      </c>
      <c r="D1219" s="2" t="s">
        <v>4000</v>
      </c>
      <c r="E1219" s="5" t="s">
        <v>4001</v>
      </c>
      <c r="F1219" s="3" t="s">
        <v>4002</v>
      </c>
      <c r="G1219" s="3" t="s">
        <v>1061</v>
      </c>
      <c r="H1219" s="2" t="str">
        <f>"2012"</f>
        <v>2012</v>
      </c>
      <c r="I1219" t="s">
        <v>14</v>
      </c>
      <c r="J1219" t="s">
        <v>15</v>
      </c>
    </row>
    <row r="1220" spans="1:10">
      <c r="A1220" s="2" t="str">
        <f>"1217"</f>
        <v>1217</v>
      </c>
      <c r="B1220" s="2" t="s">
        <v>9</v>
      </c>
      <c r="C1220" s="2" t="str">
        <f>"1 (1)"</f>
        <v>1 (1)</v>
      </c>
      <c r="D1220" s="2" t="s">
        <v>4003</v>
      </c>
      <c r="E1220" s="5" t="s">
        <v>4004</v>
      </c>
      <c r="F1220" s="3" t="s">
        <v>4005</v>
      </c>
      <c r="G1220" s="3" t="s">
        <v>4006</v>
      </c>
      <c r="H1220" s="2" t="str">
        <f>"2012"</f>
        <v>2012</v>
      </c>
      <c r="I1220" t="s">
        <v>14</v>
      </c>
      <c r="J1220" t="s">
        <v>15</v>
      </c>
    </row>
    <row r="1221" spans="1:10">
      <c r="A1221" s="2" t="str">
        <f>"1218"</f>
        <v>1218</v>
      </c>
      <c r="B1221" s="2" t="s">
        <v>9</v>
      </c>
      <c r="C1221" s="2" t="str">
        <f>"1 (1)"</f>
        <v>1 (1)</v>
      </c>
      <c r="D1221" s="2" t="s">
        <v>4007</v>
      </c>
      <c r="E1221" s="5" t="s">
        <v>4008</v>
      </c>
      <c r="F1221" s="3" t="s">
        <v>4009</v>
      </c>
      <c r="G1221" s="3" t="s">
        <v>4010</v>
      </c>
      <c r="H1221" s="2" t="str">
        <f>"2012"</f>
        <v>2012</v>
      </c>
      <c r="I1221" t="s">
        <v>14</v>
      </c>
      <c r="J1221" t="s">
        <v>15</v>
      </c>
    </row>
    <row r="1222" spans="1:10">
      <c r="A1222" s="2" t="str">
        <f>"1219"</f>
        <v>1219</v>
      </c>
      <c r="B1222" s="2" t="s">
        <v>9</v>
      </c>
      <c r="C1222" s="2" t="str">
        <f>"1 (1)"</f>
        <v>1 (1)</v>
      </c>
      <c r="D1222" s="2" t="s">
        <v>4011</v>
      </c>
      <c r="E1222" s="5" t="s">
        <v>4012</v>
      </c>
      <c r="F1222" s="3" t="s">
        <v>4013</v>
      </c>
      <c r="G1222" s="3" t="s">
        <v>3328</v>
      </c>
      <c r="H1222" s="2" t="str">
        <f>"2012"</f>
        <v>2012</v>
      </c>
      <c r="I1222" t="s">
        <v>14</v>
      </c>
      <c r="J1222" t="s">
        <v>15</v>
      </c>
    </row>
    <row r="1223" spans="1:10">
      <c r="A1223" s="2" t="str">
        <f>"1220"</f>
        <v>1220</v>
      </c>
      <c r="B1223" s="2" t="s">
        <v>9</v>
      </c>
      <c r="C1223" s="2" t="str">
        <f>"1 (1)"</f>
        <v>1 (1)</v>
      </c>
      <c r="D1223" s="2" t="s">
        <v>4014</v>
      </c>
      <c r="E1223" s="5" t="s">
        <v>4015</v>
      </c>
      <c r="F1223" s="3" t="s">
        <v>4016</v>
      </c>
      <c r="G1223" s="3" t="s">
        <v>4017</v>
      </c>
      <c r="H1223" s="2" t="str">
        <f>"2012"</f>
        <v>2012</v>
      </c>
      <c r="I1223" t="s">
        <v>14</v>
      </c>
      <c r="J1223" t="s">
        <v>15</v>
      </c>
    </row>
    <row r="1224" spans="1:10">
      <c r="A1224" s="2" t="str">
        <f>"1221"</f>
        <v>1221</v>
      </c>
      <c r="B1224" s="2" t="s">
        <v>9</v>
      </c>
      <c r="C1224" s="2" t="str">
        <f>"1 (1)"</f>
        <v>1 (1)</v>
      </c>
      <c r="D1224" s="2" t="s">
        <v>4018</v>
      </c>
      <c r="E1224" s="5" t="s">
        <v>4019</v>
      </c>
      <c r="F1224" s="3" t="s">
        <v>4020</v>
      </c>
      <c r="G1224" s="3" t="s">
        <v>4021</v>
      </c>
      <c r="H1224" s="2" t="str">
        <f>"2012"</f>
        <v>2012</v>
      </c>
      <c r="I1224" t="s">
        <v>14</v>
      </c>
      <c r="J1224" t="s">
        <v>15</v>
      </c>
    </row>
    <row r="1225" spans="1:10">
      <c r="A1225" s="2" t="str">
        <f>"1222"</f>
        <v>1222</v>
      </c>
      <c r="B1225" s="2" t="s">
        <v>9</v>
      </c>
      <c r="C1225" s="2" t="str">
        <f>"1 (1)"</f>
        <v>1 (1)</v>
      </c>
      <c r="D1225" s="2" t="s">
        <v>4022</v>
      </c>
      <c r="E1225" s="5" t="s">
        <v>4023</v>
      </c>
      <c r="F1225" s="3" t="s">
        <v>4024</v>
      </c>
      <c r="G1225" s="3" t="s">
        <v>4025</v>
      </c>
      <c r="H1225" s="2" t="str">
        <f>"2012"</f>
        <v>2012</v>
      </c>
      <c r="I1225" t="s">
        <v>14</v>
      </c>
      <c r="J1225" t="s">
        <v>15</v>
      </c>
    </row>
    <row r="1226" spans="1:10">
      <c r="A1226" s="2" t="str">
        <f>"1223"</f>
        <v>1223</v>
      </c>
      <c r="B1226" s="2" t="s">
        <v>9</v>
      </c>
      <c r="C1226" s="2" t="str">
        <f>"1 (1)"</f>
        <v>1 (1)</v>
      </c>
      <c r="D1226" s="2" t="s">
        <v>4026</v>
      </c>
      <c r="E1226" s="5" t="s">
        <v>4027</v>
      </c>
      <c r="F1226" s="3" t="s">
        <v>4028</v>
      </c>
      <c r="G1226" s="3" t="s">
        <v>4029</v>
      </c>
      <c r="H1226" s="2" t="str">
        <f>"2012"</f>
        <v>2012</v>
      </c>
      <c r="I1226" t="s">
        <v>14</v>
      </c>
      <c r="J1226" t="s">
        <v>15</v>
      </c>
    </row>
    <row r="1227" spans="1:10">
      <c r="A1227" s="2" t="str">
        <f>"1224"</f>
        <v>1224</v>
      </c>
      <c r="B1227" s="2" t="s">
        <v>9</v>
      </c>
      <c r="C1227" s="2" t="str">
        <f>"1 (1)"</f>
        <v>1 (1)</v>
      </c>
      <c r="D1227" s="2" t="s">
        <v>4030</v>
      </c>
      <c r="E1227" s="5" t="s">
        <v>4031</v>
      </c>
      <c r="F1227" s="3" t="s">
        <v>4020</v>
      </c>
      <c r="G1227" s="3" t="s">
        <v>1945</v>
      </c>
      <c r="H1227" s="2" t="str">
        <f>"2012"</f>
        <v>2012</v>
      </c>
      <c r="I1227" t="s">
        <v>14</v>
      </c>
      <c r="J1227" t="s">
        <v>15</v>
      </c>
    </row>
    <row r="1228" spans="1:10">
      <c r="A1228" s="2" t="str">
        <f>"1225"</f>
        <v>1225</v>
      </c>
      <c r="B1228" s="2" t="s">
        <v>9</v>
      </c>
      <c r="C1228" s="2" t="str">
        <f>"1 (1)"</f>
        <v>1 (1)</v>
      </c>
      <c r="D1228" s="2" t="s">
        <v>4032</v>
      </c>
      <c r="E1228" s="5" t="s">
        <v>4033</v>
      </c>
      <c r="F1228" s="3" t="s">
        <v>4034</v>
      </c>
      <c r="G1228" s="3" t="s">
        <v>4035</v>
      </c>
      <c r="H1228" s="2" t="str">
        <f>"2012"</f>
        <v>2012</v>
      </c>
      <c r="I1228" t="s">
        <v>14</v>
      </c>
      <c r="J1228" t="s">
        <v>15</v>
      </c>
    </row>
    <row r="1229" spans="1:10">
      <c r="A1229" s="2" t="str">
        <f>"1226"</f>
        <v>1226</v>
      </c>
      <c r="B1229" s="2" t="s">
        <v>9</v>
      </c>
      <c r="C1229" s="2" t="str">
        <f>"1 (1)"</f>
        <v>1 (1)</v>
      </c>
      <c r="D1229" s="2" t="s">
        <v>4036</v>
      </c>
      <c r="E1229" s="5" t="s">
        <v>4037</v>
      </c>
      <c r="F1229" s="3" t="s">
        <v>3833</v>
      </c>
      <c r="G1229" s="3" t="s">
        <v>3834</v>
      </c>
      <c r="H1229" s="2" t="str">
        <f>"2012"</f>
        <v>2012</v>
      </c>
      <c r="I1229" t="s">
        <v>14</v>
      </c>
      <c r="J1229" t="s">
        <v>15</v>
      </c>
    </row>
    <row r="1230" spans="1:10">
      <c r="A1230" s="2" t="str">
        <f>"1227"</f>
        <v>1227</v>
      </c>
      <c r="B1230" s="2" t="s">
        <v>9</v>
      </c>
      <c r="C1230" s="2" t="str">
        <f>"1 (1)"</f>
        <v>1 (1)</v>
      </c>
      <c r="D1230" s="2" t="s">
        <v>4038</v>
      </c>
      <c r="E1230" s="5" t="s">
        <v>4039</v>
      </c>
      <c r="F1230" s="3" t="s">
        <v>4040</v>
      </c>
      <c r="G1230" s="3" t="s">
        <v>4041</v>
      </c>
      <c r="H1230" s="2" t="str">
        <f>"2012"</f>
        <v>2012</v>
      </c>
      <c r="I1230" t="s">
        <v>14</v>
      </c>
      <c r="J1230" t="s">
        <v>15</v>
      </c>
    </row>
    <row r="1231" spans="1:10">
      <c r="A1231" s="2" t="str">
        <f>"1228"</f>
        <v>1228</v>
      </c>
      <c r="B1231" s="2" t="s">
        <v>9</v>
      </c>
      <c r="C1231" s="2" t="str">
        <f>"1 (1)"</f>
        <v>1 (1)</v>
      </c>
      <c r="D1231" s="2" t="s">
        <v>4042</v>
      </c>
      <c r="E1231" s="5" t="s">
        <v>4043</v>
      </c>
      <c r="F1231" s="3" t="s">
        <v>4044</v>
      </c>
      <c r="G1231" s="3" t="s">
        <v>4041</v>
      </c>
      <c r="H1231" s="2" t="str">
        <f>"2012"</f>
        <v>2012</v>
      </c>
      <c r="I1231" t="s">
        <v>14</v>
      </c>
      <c r="J1231" t="s">
        <v>15</v>
      </c>
    </row>
    <row r="1232" spans="1:10">
      <c r="A1232" s="2" t="str">
        <f>"1229"</f>
        <v>1229</v>
      </c>
      <c r="B1232" s="2" t="s">
        <v>9</v>
      </c>
      <c r="C1232" s="2" t="str">
        <f>"1 (1)"</f>
        <v>1 (1)</v>
      </c>
      <c r="D1232" s="2" t="s">
        <v>4045</v>
      </c>
      <c r="E1232" s="5" t="s">
        <v>4046</v>
      </c>
      <c r="F1232" s="3" t="s">
        <v>4047</v>
      </c>
      <c r="G1232" s="3" t="s">
        <v>3614</v>
      </c>
      <c r="H1232" s="2" t="str">
        <f>"2012"</f>
        <v>2012</v>
      </c>
      <c r="I1232" t="s">
        <v>14</v>
      </c>
      <c r="J1232" t="s">
        <v>15</v>
      </c>
    </row>
    <row r="1233" spans="1:10">
      <c r="A1233" s="2" t="str">
        <f>"1230"</f>
        <v>1230</v>
      </c>
      <c r="B1233" s="2" t="s">
        <v>9</v>
      </c>
      <c r="C1233" s="2" t="str">
        <f>"1 (1)"</f>
        <v>1 (1)</v>
      </c>
      <c r="D1233" s="2" t="s">
        <v>4048</v>
      </c>
      <c r="E1233" s="5" t="s">
        <v>4049</v>
      </c>
      <c r="F1233" s="3" t="s">
        <v>4050</v>
      </c>
      <c r="G1233" s="3" t="s">
        <v>3183</v>
      </c>
      <c r="H1233" s="2" t="str">
        <f>"2012"</f>
        <v>2012</v>
      </c>
      <c r="I1233" t="s">
        <v>14</v>
      </c>
      <c r="J1233" t="s">
        <v>15</v>
      </c>
    </row>
    <row r="1234" spans="1:10">
      <c r="A1234" s="2" t="str">
        <f>"1231"</f>
        <v>1231</v>
      </c>
      <c r="B1234" s="2" t="s">
        <v>9</v>
      </c>
      <c r="C1234" s="2" t="str">
        <f>"1 (1)"</f>
        <v>1 (1)</v>
      </c>
      <c r="D1234" s="2" t="s">
        <v>4051</v>
      </c>
      <c r="E1234" s="5" t="s">
        <v>4052</v>
      </c>
      <c r="F1234" s="3" t="s">
        <v>4053</v>
      </c>
      <c r="G1234" s="3" t="s">
        <v>2541</v>
      </c>
      <c r="H1234" s="2" t="str">
        <f>"2012"</f>
        <v>2012</v>
      </c>
      <c r="I1234" t="s">
        <v>14</v>
      </c>
      <c r="J1234" t="s">
        <v>15</v>
      </c>
    </row>
    <row r="1235" spans="1:10">
      <c r="A1235" s="2" t="str">
        <f>"1232"</f>
        <v>1232</v>
      </c>
      <c r="B1235" s="2" t="s">
        <v>9</v>
      </c>
      <c r="C1235" s="2" t="str">
        <f>"1 (1)"</f>
        <v>1 (1)</v>
      </c>
      <c r="D1235" s="2" t="s">
        <v>4054</v>
      </c>
      <c r="E1235" s="5" t="s">
        <v>4055</v>
      </c>
      <c r="F1235" s="3" t="s">
        <v>4056</v>
      </c>
      <c r="G1235" s="3" t="s">
        <v>4057</v>
      </c>
      <c r="H1235" s="2" t="str">
        <f>"2012"</f>
        <v>2012</v>
      </c>
      <c r="I1235" t="s">
        <v>14</v>
      </c>
      <c r="J1235" t="s">
        <v>15</v>
      </c>
    </row>
    <row r="1236" spans="1:10">
      <c r="A1236" s="2" t="str">
        <f>"1233"</f>
        <v>1233</v>
      </c>
      <c r="B1236" s="2" t="s">
        <v>9</v>
      </c>
      <c r="C1236" s="2" t="str">
        <f>"1 (1)"</f>
        <v>1 (1)</v>
      </c>
      <c r="D1236" s="2" t="s">
        <v>4058</v>
      </c>
      <c r="E1236" s="5" t="str">
        <f>"10대와 통하는 윤리학"</f>
        <v>10대와 통하는 윤리학</v>
      </c>
      <c r="F1236" s="3" t="s">
        <v>4059</v>
      </c>
      <c r="G1236" s="3" t="s">
        <v>4060</v>
      </c>
      <c r="H1236" s="2" t="str">
        <f>"2012"</f>
        <v>2012</v>
      </c>
      <c r="I1236" t="s">
        <v>14</v>
      </c>
      <c r="J1236" t="s">
        <v>15</v>
      </c>
    </row>
    <row r="1237" spans="1:10">
      <c r="A1237" s="2" t="str">
        <f>"1234"</f>
        <v>1234</v>
      </c>
      <c r="B1237" s="2" t="s">
        <v>9</v>
      </c>
      <c r="C1237" s="2" t="str">
        <f>"1 (1)"</f>
        <v>1 (1)</v>
      </c>
      <c r="D1237" s="2" t="s">
        <v>4061</v>
      </c>
      <c r="E1237" s="5" t="s">
        <v>4062</v>
      </c>
      <c r="F1237" s="3" t="s">
        <v>4063</v>
      </c>
      <c r="G1237" s="3" t="s">
        <v>4064</v>
      </c>
      <c r="H1237" s="2" t="str">
        <f>"2006"</f>
        <v>2006</v>
      </c>
      <c r="I1237" t="s">
        <v>14</v>
      </c>
      <c r="J1237" t="s">
        <v>15</v>
      </c>
    </row>
    <row r="1238" spans="1:10">
      <c r="A1238" s="2" t="str">
        <f>"1235"</f>
        <v>1235</v>
      </c>
      <c r="B1238" s="2" t="s">
        <v>9</v>
      </c>
      <c r="C1238" s="2" t="str">
        <f>"1 (1)"</f>
        <v>1 (1)</v>
      </c>
      <c r="D1238" s="2" t="s">
        <v>4065</v>
      </c>
      <c r="E1238" s="5" t="s">
        <v>4066</v>
      </c>
      <c r="F1238" s="3" t="s">
        <v>4067</v>
      </c>
      <c r="G1238" s="3" t="s">
        <v>3187</v>
      </c>
      <c r="H1238" s="2" t="str">
        <f>"2012"</f>
        <v>2012</v>
      </c>
      <c r="I1238" t="s">
        <v>14</v>
      </c>
      <c r="J1238" t="s">
        <v>15</v>
      </c>
    </row>
    <row r="1239" spans="1:10">
      <c r="A1239" s="2" t="str">
        <f>"1236"</f>
        <v>1236</v>
      </c>
      <c r="B1239" s="2" t="s">
        <v>9</v>
      </c>
      <c r="C1239" s="2" t="str">
        <f>"1 (1)"</f>
        <v>1 (1)</v>
      </c>
      <c r="D1239" s="2" t="s">
        <v>4068</v>
      </c>
      <c r="E1239" s="5" t="s">
        <v>4069</v>
      </c>
      <c r="F1239" s="3" t="s">
        <v>4070</v>
      </c>
      <c r="G1239" s="3" t="s">
        <v>3281</v>
      </c>
      <c r="H1239" s="2" t="str">
        <f>"2012"</f>
        <v>2012</v>
      </c>
      <c r="I1239" t="s">
        <v>14</v>
      </c>
      <c r="J1239" t="s">
        <v>15</v>
      </c>
    </row>
    <row r="1240" spans="1:10">
      <c r="A1240" s="2" t="str">
        <f>"1237"</f>
        <v>1237</v>
      </c>
      <c r="B1240" s="2" t="s">
        <v>9</v>
      </c>
      <c r="C1240" s="2" t="str">
        <f>"1 (1)"</f>
        <v>1 (1)</v>
      </c>
      <c r="D1240" s="2" t="s">
        <v>4071</v>
      </c>
      <c r="E1240" s="5" t="s">
        <v>4072</v>
      </c>
      <c r="F1240" s="3" t="s">
        <v>4073</v>
      </c>
      <c r="G1240" s="3" t="s">
        <v>4074</v>
      </c>
      <c r="H1240" s="2" t="str">
        <f>"2012"</f>
        <v>2012</v>
      </c>
      <c r="I1240" t="s">
        <v>14</v>
      </c>
      <c r="J1240" t="s">
        <v>15</v>
      </c>
    </row>
    <row r="1241" spans="1:10">
      <c r="A1241" s="2" t="str">
        <f>"1238"</f>
        <v>1238</v>
      </c>
      <c r="B1241" s="2" t="s">
        <v>9</v>
      </c>
      <c r="C1241" s="2" t="str">
        <f>"1 (1)"</f>
        <v>1 (1)</v>
      </c>
      <c r="D1241" s="2" t="s">
        <v>4075</v>
      </c>
      <c r="E1241" s="5" t="s">
        <v>4076</v>
      </c>
      <c r="F1241" s="3" t="s">
        <v>4077</v>
      </c>
      <c r="G1241" s="3" t="s">
        <v>4078</v>
      </c>
      <c r="H1241" s="2" t="str">
        <f>"2012"</f>
        <v>2012</v>
      </c>
      <c r="I1241" t="s">
        <v>14</v>
      </c>
      <c r="J1241" t="s">
        <v>15</v>
      </c>
    </row>
    <row r="1242" spans="1:10">
      <c r="A1242" s="2" t="str">
        <f>"1239"</f>
        <v>1239</v>
      </c>
      <c r="B1242" s="2" t="s">
        <v>9</v>
      </c>
      <c r="C1242" s="2" t="str">
        <f>"1 (1)"</f>
        <v>1 (1)</v>
      </c>
      <c r="D1242" s="2" t="s">
        <v>4079</v>
      </c>
      <c r="E1242" s="5" t="s">
        <v>4080</v>
      </c>
      <c r="F1242" s="3" t="s">
        <v>4081</v>
      </c>
      <c r="G1242" s="3" t="s">
        <v>4082</v>
      </c>
      <c r="H1242" s="2" t="str">
        <f>"2012"</f>
        <v>2012</v>
      </c>
      <c r="I1242" t="s">
        <v>14</v>
      </c>
      <c r="J1242" t="s">
        <v>15</v>
      </c>
    </row>
    <row r="1243" spans="1:10">
      <c r="A1243" s="2" t="str">
        <f>"1240"</f>
        <v>1240</v>
      </c>
      <c r="B1243" s="2" t="s">
        <v>9</v>
      </c>
      <c r="C1243" s="2" t="str">
        <f>"1 (1)"</f>
        <v>1 (1)</v>
      </c>
      <c r="D1243" s="2" t="s">
        <v>4083</v>
      </c>
      <c r="E1243" s="5" t="s">
        <v>4084</v>
      </c>
      <c r="F1243" s="3" t="s">
        <v>4085</v>
      </c>
      <c r="G1243" s="3" t="s">
        <v>4086</v>
      </c>
      <c r="H1243" s="2" t="str">
        <f>"2012"</f>
        <v>2012</v>
      </c>
      <c r="I1243" t="s">
        <v>14</v>
      </c>
      <c r="J1243" t="s">
        <v>15</v>
      </c>
    </row>
    <row r="1244" spans="1:10">
      <c r="A1244" s="2" t="str">
        <f>"1241"</f>
        <v>1241</v>
      </c>
      <c r="B1244" s="2" t="s">
        <v>9</v>
      </c>
      <c r="C1244" s="2" t="str">
        <f>"1 (1)"</f>
        <v>1 (1)</v>
      </c>
      <c r="D1244" s="2" t="s">
        <v>4087</v>
      </c>
      <c r="E1244" s="5" t="s">
        <v>4088</v>
      </c>
      <c r="F1244" s="3" t="s">
        <v>4089</v>
      </c>
      <c r="G1244" s="3" t="s">
        <v>4090</v>
      </c>
      <c r="H1244" s="2" t="str">
        <f>"2012"</f>
        <v>2012</v>
      </c>
      <c r="I1244" t="s">
        <v>14</v>
      </c>
      <c r="J1244" t="s">
        <v>15</v>
      </c>
    </row>
    <row r="1245" spans="1:10">
      <c r="A1245" s="2" t="str">
        <f>"1242"</f>
        <v>1242</v>
      </c>
      <c r="B1245" s="2" t="s">
        <v>9</v>
      </c>
      <c r="C1245" s="2" t="str">
        <f>"1 (1)"</f>
        <v>1 (1)</v>
      </c>
      <c r="D1245" s="2" t="s">
        <v>4091</v>
      </c>
      <c r="E1245" s="5" t="s">
        <v>4092</v>
      </c>
      <c r="F1245" s="3" t="s">
        <v>4093</v>
      </c>
      <c r="G1245" s="3" t="s">
        <v>4094</v>
      </c>
      <c r="H1245" s="2" t="str">
        <f>"2012"</f>
        <v>2012</v>
      </c>
      <c r="I1245" t="s">
        <v>14</v>
      </c>
      <c r="J1245" t="s">
        <v>15</v>
      </c>
    </row>
    <row r="1246" spans="1:10">
      <c r="A1246" s="2" t="str">
        <f>"1243"</f>
        <v>1243</v>
      </c>
      <c r="B1246" s="2" t="s">
        <v>9</v>
      </c>
      <c r="C1246" s="2" t="str">
        <f>"1 (1)"</f>
        <v>1 (1)</v>
      </c>
      <c r="D1246" s="2" t="s">
        <v>4095</v>
      </c>
      <c r="E1246" s="5" t="s">
        <v>4096</v>
      </c>
      <c r="F1246" s="3" t="s">
        <v>4097</v>
      </c>
      <c r="G1246" s="3" t="s">
        <v>4098</v>
      </c>
      <c r="H1246" s="2" t="str">
        <f>"2012"</f>
        <v>2012</v>
      </c>
      <c r="I1246" t="s">
        <v>14</v>
      </c>
      <c r="J1246" t="s">
        <v>15</v>
      </c>
    </row>
    <row r="1247" spans="1:10">
      <c r="A1247" s="2" t="str">
        <f>"1244"</f>
        <v>1244</v>
      </c>
      <c r="B1247" s="2" t="s">
        <v>9</v>
      </c>
      <c r="C1247" s="2" t="str">
        <f>"1 (1)"</f>
        <v>1 (1)</v>
      </c>
      <c r="D1247" s="2" t="s">
        <v>4099</v>
      </c>
      <c r="E1247" s="5" t="s">
        <v>4100</v>
      </c>
      <c r="F1247" s="3" t="s">
        <v>4101</v>
      </c>
      <c r="G1247" s="3" t="s">
        <v>4102</v>
      </c>
      <c r="H1247" s="2" t="str">
        <f>"2012"</f>
        <v>2012</v>
      </c>
      <c r="I1247" t="s">
        <v>14</v>
      </c>
      <c r="J1247" t="s">
        <v>15</v>
      </c>
    </row>
    <row r="1248" spans="1:10">
      <c r="A1248" s="2" t="str">
        <f>"1245"</f>
        <v>1245</v>
      </c>
      <c r="B1248" s="2" t="s">
        <v>9</v>
      </c>
      <c r="C1248" s="2" t="str">
        <f>"1 (1)"</f>
        <v>1 (1)</v>
      </c>
      <c r="D1248" s="2" t="s">
        <v>4103</v>
      </c>
      <c r="E1248" s="5" t="s">
        <v>4104</v>
      </c>
      <c r="F1248" s="3" t="s">
        <v>4105</v>
      </c>
      <c r="G1248" s="3" t="s">
        <v>4106</v>
      </c>
      <c r="H1248" s="2" t="str">
        <f>"2012"</f>
        <v>2012</v>
      </c>
      <c r="I1248" t="s">
        <v>14</v>
      </c>
      <c r="J1248" t="s">
        <v>15</v>
      </c>
    </row>
    <row r="1249" spans="1:10">
      <c r="A1249" s="2" t="str">
        <f>"1246"</f>
        <v>1246</v>
      </c>
      <c r="B1249" s="2" t="s">
        <v>9</v>
      </c>
      <c r="C1249" s="2" t="str">
        <f>"1 (1)"</f>
        <v>1 (1)</v>
      </c>
      <c r="D1249" s="2" t="s">
        <v>4107</v>
      </c>
      <c r="E1249" s="5" t="s">
        <v>4108</v>
      </c>
      <c r="F1249" s="3" t="s">
        <v>4109</v>
      </c>
      <c r="G1249" s="3" t="s">
        <v>4110</v>
      </c>
      <c r="H1249" s="2" t="str">
        <f>"2012"</f>
        <v>2012</v>
      </c>
      <c r="I1249" t="s">
        <v>14</v>
      </c>
      <c r="J1249" t="s">
        <v>15</v>
      </c>
    </row>
    <row r="1250" spans="1:10">
      <c r="A1250" s="2" t="str">
        <f>"1247"</f>
        <v>1247</v>
      </c>
      <c r="B1250" s="2" t="s">
        <v>9</v>
      </c>
      <c r="C1250" s="2" t="str">
        <f>"1 (1)"</f>
        <v>1 (1)</v>
      </c>
      <c r="D1250" s="2" t="s">
        <v>4111</v>
      </c>
      <c r="E1250" s="5" t="s">
        <v>4112</v>
      </c>
      <c r="F1250" s="3" t="s">
        <v>4113</v>
      </c>
      <c r="G1250" s="3" t="s">
        <v>4114</v>
      </c>
      <c r="H1250" s="2" t="str">
        <f>"2012"</f>
        <v>2012</v>
      </c>
      <c r="I1250" t="s">
        <v>14</v>
      </c>
      <c r="J1250" t="s">
        <v>15</v>
      </c>
    </row>
    <row r="1251" spans="1:10">
      <c r="A1251" s="2" t="str">
        <f>"1248"</f>
        <v>1248</v>
      </c>
      <c r="B1251" s="2" t="s">
        <v>9</v>
      </c>
      <c r="C1251" s="2" t="str">
        <f>"1 (1)"</f>
        <v>1 (1)</v>
      </c>
      <c r="D1251" s="2" t="s">
        <v>4115</v>
      </c>
      <c r="E1251" s="5" t="s">
        <v>4116</v>
      </c>
      <c r="F1251" s="3" t="s">
        <v>4117</v>
      </c>
      <c r="G1251" s="3" t="s">
        <v>4086</v>
      </c>
      <c r="H1251" s="2" t="str">
        <f>"2012"</f>
        <v>2012</v>
      </c>
      <c r="I1251" t="s">
        <v>14</v>
      </c>
      <c r="J1251" t="s">
        <v>15</v>
      </c>
    </row>
    <row r="1252" spans="1:10">
      <c r="A1252" s="2" t="str">
        <f>"1249"</f>
        <v>1249</v>
      </c>
      <c r="B1252" s="2" t="s">
        <v>9</v>
      </c>
      <c r="C1252" s="2" t="str">
        <f>"1 (1)"</f>
        <v>1 (1)</v>
      </c>
      <c r="D1252" s="2" t="s">
        <v>4118</v>
      </c>
      <c r="E1252" s="5" t="s">
        <v>4119</v>
      </c>
      <c r="F1252" s="3" t="s">
        <v>4120</v>
      </c>
      <c r="G1252" s="3" t="s">
        <v>4121</v>
      </c>
      <c r="H1252" s="2" t="str">
        <f>"2012"</f>
        <v>2012</v>
      </c>
      <c r="I1252" t="s">
        <v>14</v>
      </c>
      <c r="J1252" t="s">
        <v>15</v>
      </c>
    </row>
    <row r="1253" spans="1:10">
      <c r="A1253" s="2" t="str">
        <f>"1250"</f>
        <v>1250</v>
      </c>
      <c r="B1253" s="2" t="s">
        <v>9</v>
      </c>
      <c r="C1253" s="2" t="str">
        <f>"1 (1)"</f>
        <v>1 (1)</v>
      </c>
      <c r="D1253" s="2" t="s">
        <v>4122</v>
      </c>
      <c r="E1253" s="5" t="s">
        <v>4123</v>
      </c>
      <c r="F1253" s="3" t="s">
        <v>4124</v>
      </c>
      <c r="G1253" s="3" t="s">
        <v>4125</v>
      </c>
      <c r="H1253" s="2" t="str">
        <f>"2012"</f>
        <v>2012</v>
      </c>
      <c r="I1253" t="s">
        <v>14</v>
      </c>
      <c r="J1253" t="s">
        <v>15</v>
      </c>
    </row>
    <row r="1254" spans="1:10">
      <c r="A1254" s="2" t="str">
        <f>"1251"</f>
        <v>1251</v>
      </c>
      <c r="B1254" s="2" t="s">
        <v>9</v>
      </c>
      <c r="C1254" s="2" t="str">
        <f>"1 (1)"</f>
        <v>1 (1)</v>
      </c>
      <c r="D1254" s="2" t="s">
        <v>4126</v>
      </c>
      <c r="E1254" s="5" t="s">
        <v>4127</v>
      </c>
      <c r="F1254" s="3" t="s">
        <v>4128</v>
      </c>
      <c r="G1254" s="3" t="s">
        <v>3739</v>
      </c>
      <c r="H1254" s="2" t="str">
        <f>"2012"</f>
        <v>2012</v>
      </c>
      <c r="I1254" t="s">
        <v>14</v>
      </c>
      <c r="J1254" t="s">
        <v>15</v>
      </c>
    </row>
    <row r="1255" spans="1:10">
      <c r="A1255" s="2" t="str">
        <f>"1252"</f>
        <v>1252</v>
      </c>
      <c r="B1255" s="2" t="s">
        <v>9</v>
      </c>
      <c r="C1255" s="2" t="str">
        <f>"1 (1)"</f>
        <v>1 (1)</v>
      </c>
      <c r="D1255" s="2" t="s">
        <v>4129</v>
      </c>
      <c r="E1255" s="5" t="s">
        <v>4130</v>
      </c>
      <c r="F1255" s="3" t="s">
        <v>4131</v>
      </c>
      <c r="G1255" s="3" t="s">
        <v>3436</v>
      </c>
      <c r="H1255" s="2" t="str">
        <f>"2012"</f>
        <v>2012</v>
      </c>
      <c r="I1255" t="s">
        <v>14</v>
      </c>
      <c r="J1255" t="s">
        <v>15</v>
      </c>
    </row>
    <row r="1256" spans="1:10">
      <c r="A1256" s="2" t="str">
        <f>"1253"</f>
        <v>1253</v>
      </c>
      <c r="B1256" s="2" t="s">
        <v>9</v>
      </c>
      <c r="C1256" s="2" t="str">
        <f>"1 (1)"</f>
        <v>1 (1)</v>
      </c>
      <c r="D1256" s="2" t="s">
        <v>4132</v>
      </c>
      <c r="E1256" s="5" t="s">
        <v>4133</v>
      </c>
      <c r="F1256" s="3" t="s">
        <v>4134</v>
      </c>
      <c r="G1256" s="3" t="s">
        <v>19</v>
      </c>
      <c r="H1256" s="2" t="str">
        <f>"2012"</f>
        <v>2012</v>
      </c>
      <c r="I1256" t="s">
        <v>14</v>
      </c>
      <c r="J1256" t="s">
        <v>15</v>
      </c>
    </row>
    <row r="1257" spans="1:10">
      <c r="A1257" s="2" t="str">
        <f>"1254"</f>
        <v>1254</v>
      </c>
      <c r="B1257" s="2" t="s">
        <v>9</v>
      </c>
      <c r="C1257" s="2" t="str">
        <f>"1 (1)"</f>
        <v>1 (1)</v>
      </c>
      <c r="D1257" s="2" t="s">
        <v>4135</v>
      </c>
      <c r="E1257" s="5" t="s">
        <v>4136</v>
      </c>
      <c r="F1257" s="3" t="s">
        <v>4137</v>
      </c>
      <c r="G1257" s="3" t="s">
        <v>1929</v>
      </c>
      <c r="H1257" s="2" t="str">
        <f>"2012"</f>
        <v>2012</v>
      </c>
      <c r="I1257" t="s">
        <v>14</v>
      </c>
      <c r="J1257" t="s">
        <v>15</v>
      </c>
    </row>
    <row r="1258" spans="1:10">
      <c r="A1258" s="2" t="str">
        <f>"1255"</f>
        <v>1255</v>
      </c>
      <c r="B1258" s="2" t="s">
        <v>9</v>
      </c>
      <c r="C1258" s="2" t="str">
        <f>"1 (1)"</f>
        <v>1 (1)</v>
      </c>
      <c r="D1258" s="2" t="s">
        <v>4138</v>
      </c>
      <c r="E1258" s="5" t="s">
        <v>4139</v>
      </c>
      <c r="F1258" s="3" t="s">
        <v>4140</v>
      </c>
      <c r="G1258" s="3" t="s">
        <v>4090</v>
      </c>
      <c r="H1258" s="2" t="str">
        <f>"2012"</f>
        <v>2012</v>
      </c>
      <c r="I1258" t="s">
        <v>14</v>
      </c>
      <c r="J1258" t="s">
        <v>15</v>
      </c>
    </row>
    <row r="1259" spans="1:10">
      <c r="A1259" s="2" t="str">
        <f>"1256"</f>
        <v>1256</v>
      </c>
      <c r="B1259" s="2" t="s">
        <v>9</v>
      </c>
      <c r="C1259" s="2" t="str">
        <f>"1 (1)"</f>
        <v>1 (1)</v>
      </c>
      <c r="D1259" s="2" t="s">
        <v>4141</v>
      </c>
      <c r="E1259" s="5" t="s">
        <v>4142</v>
      </c>
      <c r="F1259" s="3" t="s">
        <v>4143</v>
      </c>
      <c r="G1259" s="3" t="s">
        <v>4144</v>
      </c>
      <c r="H1259" s="2" t="str">
        <f>"2012"</f>
        <v>2012</v>
      </c>
      <c r="I1259" t="s">
        <v>14</v>
      </c>
      <c r="J1259" t="s">
        <v>15</v>
      </c>
    </row>
    <row r="1260" spans="1:10">
      <c r="A1260" s="2" t="str">
        <f>"1257"</f>
        <v>1257</v>
      </c>
      <c r="B1260" s="2" t="s">
        <v>9</v>
      </c>
      <c r="C1260" s="2" t="str">
        <f>"1 (1)"</f>
        <v>1 (1)</v>
      </c>
      <c r="D1260" s="2" t="s">
        <v>4145</v>
      </c>
      <c r="E1260" s="5" t="s">
        <v>4146</v>
      </c>
      <c r="F1260" s="3" t="s">
        <v>4147</v>
      </c>
      <c r="G1260" s="3" t="s">
        <v>2488</v>
      </c>
      <c r="H1260" s="2" t="str">
        <f>"2012"</f>
        <v>2012</v>
      </c>
      <c r="I1260" t="s">
        <v>14</v>
      </c>
      <c r="J1260" t="s">
        <v>15</v>
      </c>
    </row>
    <row r="1261" spans="1:10">
      <c r="A1261" s="2" t="str">
        <f>"1258"</f>
        <v>1258</v>
      </c>
      <c r="B1261" s="2" t="s">
        <v>9</v>
      </c>
      <c r="C1261" s="2" t="str">
        <f>"1 (1)"</f>
        <v>1 (1)</v>
      </c>
      <c r="D1261" s="2" t="s">
        <v>4148</v>
      </c>
      <c r="E1261" s="5" t="s">
        <v>4149</v>
      </c>
      <c r="F1261" s="3" t="s">
        <v>4150</v>
      </c>
      <c r="G1261" s="3" t="s">
        <v>4106</v>
      </c>
      <c r="H1261" s="2" t="str">
        <f>"2012"</f>
        <v>2012</v>
      </c>
      <c r="I1261" t="s">
        <v>14</v>
      </c>
      <c r="J1261" t="s">
        <v>15</v>
      </c>
    </row>
    <row r="1262" spans="1:10">
      <c r="A1262" s="2" t="str">
        <f>"1259"</f>
        <v>1259</v>
      </c>
      <c r="B1262" s="2" t="s">
        <v>9</v>
      </c>
      <c r="C1262" s="2" t="str">
        <f>"1 (1)"</f>
        <v>1 (1)</v>
      </c>
      <c r="D1262" s="2" t="s">
        <v>4151</v>
      </c>
      <c r="E1262" s="5" t="s">
        <v>4152</v>
      </c>
      <c r="F1262" s="3" t="s">
        <v>4153</v>
      </c>
      <c r="G1262" s="3" t="s">
        <v>4125</v>
      </c>
      <c r="H1262" s="2" t="str">
        <f>"2012"</f>
        <v>2012</v>
      </c>
      <c r="I1262" t="s">
        <v>14</v>
      </c>
      <c r="J1262" t="s">
        <v>15</v>
      </c>
    </row>
    <row r="1263" spans="1:10">
      <c r="A1263" s="2" t="str">
        <f>"1260"</f>
        <v>1260</v>
      </c>
      <c r="B1263" s="2" t="s">
        <v>9</v>
      </c>
      <c r="C1263" s="2" t="str">
        <f>"1 (1)"</f>
        <v>1 (1)</v>
      </c>
      <c r="D1263" s="2" t="s">
        <v>4154</v>
      </c>
      <c r="E1263" s="5" t="s">
        <v>4155</v>
      </c>
      <c r="F1263" s="3" t="s">
        <v>4156</v>
      </c>
      <c r="G1263" s="3" t="s">
        <v>4157</v>
      </c>
      <c r="H1263" s="2" t="str">
        <f>"2012"</f>
        <v>2012</v>
      </c>
      <c r="I1263" t="s">
        <v>14</v>
      </c>
      <c r="J1263" t="s">
        <v>15</v>
      </c>
    </row>
    <row r="1264" spans="1:10">
      <c r="A1264" s="2" t="str">
        <f>"1261"</f>
        <v>1261</v>
      </c>
      <c r="B1264" s="2" t="s">
        <v>9</v>
      </c>
      <c r="C1264" s="2" t="str">
        <f>"1 (1)"</f>
        <v>1 (1)</v>
      </c>
      <c r="D1264" s="2" t="s">
        <v>4158</v>
      </c>
      <c r="E1264" s="5" t="s">
        <v>4159</v>
      </c>
      <c r="F1264" s="3" t="s">
        <v>4160</v>
      </c>
      <c r="G1264" s="3" t="s">
        <v>4157</v>
      </c>
      <c r="H1264" s="2" t="str">
        <f>"2010"</f>
        <v>2010</v>
      </c>
      <c r="I1264" t="s">
        <v>14</v>
      </c>
      <c r="J1264" t="s">
        <v>15</v>
      </c>
    </row>
    <row r="1265" spans="1:10">
      <c r="A1265" s="2" t="str">
        <f>"1262"</f>
        <v>1262</v>
      </c>
      <c r="B1265" s="2" t="s">
        <v>9</v>
      </c>
      <c r="C1265" s="2" t="str">
        <f>"1 (1)"</f>
        <v>1 (1)</v>
      </c>
      <c r="D1265" s="2" t="s">
        <v>4161</v>
      </c>
      <c r="E1265" s="5" t="s">
        <v>4162</v>
      </c>
      <c r="F1265" s="3" t="s">
        <v>4163</v>
      </c>
      <c r="G1265" s="3" t="s">
        <v>3766</v>
      </c>
      <c r="H1265" s="2" t="str">
        <f>"2012"</f>
        <v>2012</v>
      </c>
      <c r="I1265" t="s">
        <v>14</v>
      </c>
      <c r="J1265" t="s">
        <v>15</v>
      </c>
    </row>
    <row r="1266" spans="1:10">
      <c r="A1266" s="2" t="str">
        <f>"1263"</f>
        <v>1263</v>
      </c>
      <c r="B1266" s="2" t="s">
        <v>9</v>
      </c>
      <c r="C1266" s="2" t="str">
        <f>"1 (1)"</f>
        <v>1 (1)</v>
      </c>
      <c r="D1266" s="2" t="s">
        <v>4164</v>
      </c>
      <c r="E1266" s="5" t="s">
        <v>4165</v>
      </c>
      <c r="F1266" s="3" t="s">
        <v>4166</v>
      </c>
      <c r="G1266" s="3" t="s">
        <v>4167</v>
      </c>
      <c r="H1266" s="2" t="str">
        <f>"2012"</f>
        <v>2012</v>
      </c>
      <c r="I1266" t="s">
        <v>14</v>
      </c>
      <c r="J1266" t="s">
        <v>15</v>
      </c>
    </row>
    <row r="1267" spans="1:10">
      <c r="A1267" s="2" t="str">
        <f>"1264"</f>
        <v>1264</v>
      </c>
      <c r="B1267" s="2" t="s">
        <v>9</v>
      </c>
      <c r="C1267" s="2" t="str">
        <f>"1 (1)"</f>
        <v>1 (1)</v>
      </c>
      <c r="D1267" s="2" t="s">
        <v>4168</v>
      </c>
      <c r="E1267" s="5" t="s">
        <v>4169</v>
      </c>
      <c r="F1267" s="3" t="s">
        <v>4170</v>
      </c>
      <c r="G1267" s="3" t="s">
        <v>3352</v>
      </c>
      <c r="H1267" s="2" t="str">
        <f>"2012"</f>
        <v>2012</v>
      </c>
      <c r="I1267" t="s">
        <v>14</v>
      </c>
      <c r="J1267" t="s">
        <v>15</v>
      </c>
    </row>
    <row r="1268" spans="1:10">
      <c r="A1268" s="2" t="str">
        <f>"1265"</f>
        <v>1265</v>
      </c>
      <c r="B1268" s="2" t="s">
        <v>9</v>
      </c>
      <c r="C1268" s="2" t="str">
        <f>"1 (1)"</f>
        <v>1 (1)</v>
      </c>
      <c r="D1268" s="2" t="s">
        <v>4171</v>
      </c>
      <c r="E1268" s="5" t="s">
        <v>4172</v>
      </c>
      <c r="F1268" s="3" t="s">
        <v>4173</v>
      </c>
      <c r="G1268" s="3" t="s">
        <v>4174</v>
      </c>
      <c r="H1268" s="2" t="str">
        <f>"2012"</f>
        <v>2012</v>
      </c>
      <c r="I1268" t="s">
        <v>14</v>
      </c>
      <c r="J1268" t="s">
        <v>15</v>
      </c>
    </row>
    <row r="1269" spans="1:10">
      <c r="A1269" s="2" t="str">
        <f>"1266"</f>
        <v>1266</v>
      </c>
      <c r="B1269" s="2" t="s">
        <v>9</v>
      </c>
      <c r="C1269" s="2" t="str">
        <f>"1 (1)"</f>
        <v>1 (1)</v>
      </c>
      <c r="D1269" s="2" t="s">
        <v>4175</v>
      </c>
      <c r="E1269" s="5" t="s">
        <v>4176</v>
      </c>
      <c r="F1269" s="3" t="s">
        <v>4177</v>
      </c>
      <c r="G1269" s="3" t="s">
        <v>4086</v>
      </c>
      <c r="H1269" s="2" t="str">
        <f>"2012"</f>
        <v>2012</v>
      </c>
      <c r="I1269" t="s">
        <v>14</v>
      </c>
      <c r="J1269" t="s">
        <v>15</v>
      </c>
    </row>
    <row r="1270" spans="1:10">
      <c r="A1270" s="2" t="str">
        <f>"1267"</f>
        <v>1267</v>
      </c>
      <c r="B1270" s="2" t="s">
        <v>9</v>
      </c>
      <c r="C1270" s="2" t="str">
        <f>"1 (1)"</f>
        <v>1 (1)</v>
      </c>
      <c r="D1270" s="2" t="s">
        <v>4178</v>
      </c>
      <c r="E1270" s="5" t="s">
        <v>4179</v>
      </c>
      <c r="F1270" s="3" t="s">
        <v>4180</v>
      </c>
      <c r="G1270" s="3" t="s">
        <v>4090</v>
      </c>
      <c r="H1270" s="2" t="str">
        <f>"2012"</f>
        <v>2012</v>
      </c>
      <c r="I1270" t="s">
        <v>14</v>
      </c>
      <c r="J1270" t="s">
        <v>15</v>
      </c>
    </row>
    <row r="1271" spans="1:10">
      <c r="A1271" s="2" t="str">
        <f>"1268"</f>
        <v>1268</v>
      </c>
      <c r="B1271" s="2" t="s">
        <v>9</v>
      </c>
      <c r="C1271" s="2" t="str">
        <f>"1 (1)"</f>
        <v>1 (1)</v>
      </c>
      <c r="D1271" s="2" t="s">
        <v>4181</v>
      </c>
      <c r="E1271" s="5" t="s">
        <v>4182</v>
      </c>
      <c r="F1271" s="3" t="s">
        <v>4183</v>
      </c>
      <c r="G1271" s="3" t="s">
        <v>4078</v>
      </c>
      <c r="H1271" s="2" t="str">
        <f>"2012"</f>
        <v>2012</v>
      </c>
      <c r="I1271" t="s">
        <v>14</v>
      </c>
      <c r="J1271" t="s">
        <v>15</v>
      </c>
    </row>
    <row r="1272" spans="1:10">
      <c r="A1272" s="2" t="str">
        <f>"1269"</f>
        <v>1269</v>
      </c>
      <c r="B1272" s="2" t="s">
        <v>9</v>
      </c>
      <c r="C1272" s="2" t="str">
        <f>"1 (1)"</f>
        <v>1 (1)</v>
      </c>
      <c r="D1272" s="2" t="s">
        <v>4184</v>
      </c>
      <c r="E1272" s="5" t="s">
        <v>4185</v>
      </c>
      <c r="F1272" s="3" t="s">
        <v>4186</v>
      </c>
      <c r="G1272" s="3" t="s">
        <v>4106</v>
      </c>
      <c r="H1272" s="2" t="str">
        <f>"2012"</f>
        <v>2012</v>
      </c>
      <c r="I1272" t="s">
        <v>14</v>
      </c>
      <c r="J1272" t="s">
        <v>15</v>
      </c>
    </row>
    <row r="1273" spans="1:10">
      <c r="A1273" s="2" t="str">
        <f>"1270"</f>
        <v>1270</v>
      </c>
      <c r="B1273" s="2" t="s">
        <v>9</v>
      </c>
      <c r="C1273" s="2" t="str">
        <f>"1 (1)"</f>
        <v>1 (1)</v>
      </c>
      <c r="D1273" s="2" t="s">
        <v>4187</v>
      </c>
      <c r="E1273" s="5" t="s">
        <v>4188</v>
      </c>
      <c r="F1273" s="3" t="s">
        <v>4189</v>
      </c>
      <c r="G1273" s="3" t="s">
        <v>4190</v>
      </c>
      <c r="H1273" s="2" t="str">
        <f>"2012"</f>
        <v>2012</v>
      </c>
      <c r="I1273" t="s">
        <v>14</v>
      </c>
      <c r="J1273" t="s">
        <v>15</v>
      </c>
    </row>
    <row r="1274" spans="1:10">
      <c r="A1274" s="2" t="str">
        <f>"1271"</f>
        <v>1271</v>
      </c>
      <c r="B1274" s="2" t="s">
        <v>9</v>
      </c>
      <c r="C1274" s="2" t="str">
        <f>"1 (1)"</f>
        <v>1 (1)</v>
      </c>
      <c r="D1274" s="2" t="s">
        <v>4191</v>
      </c>
      <c r="E1274" s="5" t="s">
        <v>4192</v>
      </c>
      <c r="F1274" s="3" t="s">
        <v>4193</v>
      </c>
      <c r="G1274" s="3" t="s">
        <v>4194</v>
      </c>
      <c r="H1274" s="2" t="str">
        <f>"2012"</f>
        <v>2012</v>
      </c>
      <c r="I1274" t="s">
        <v>14</v>
      </c>
      <c r="J1274" t="s">
        <v>15</v>
      </c>
    </row>
    <row r="1275" spans="1:10">
      <c r="A1275" s="2" t="str">
        <f>"1272"</f>
        <v>1272</v>
      </c>
      <c r="B1275" s="2" t="s">
        <v>9</v>
      </c>
      <c r="C1275" s="2" t="str">
        <f>"1 (1)"</f>
        <v>1 (1)</v>
      </c>
      <c r="D1275" s="2" t="s">
        <v>4195</v>
      </c>
      <c r="E1275" s="5" t="s">
        <v>4196</v>
      </c>
      <c r="F1275" s="3" t="s">
        <v>4197</v>
      </c>
      <c r="G1275" s="3" t="s">
        <v>4198</v>
      </c>
      <c r="H1275" s="2" t="str">
        <f>"2012"</f>
        <v>2012</v>
      </c>
      <c r="I1275" t="s">
        <v>14</v>
      </c>
      <c r="J1275" t="s">
        <v>15</v>
      </c>
    </row>
    <row r="1276" spans="1:10">
      <c r="A1276" s="2" t="str">
        <f>"1273"</f>
        <v>1273</v>
      </c>
      <c r="B1276" s="2" t="s">
        <v>9</v>
      </c>
      <c r="C1276" s="2" t="str">
        <f>"1 (1)"</f>
        <v>1 (1)</v>
      </c>
      <c r="D1276" s="2" t="s">
        <v>4199</v>
      </c>
      <c r="E1276" s="5" t="s">
        <v>4200</v>
      </c>
      <c r="F1276" s="3" t="s">
        <v>4201</v>
      </c>
      <c r="G1276" s="3" t="s">
        <v>4144</v>
      </c>
      <c r="H1276" s="2" t="str">
        <f>"2012"</f>
        <v>2012</v>
      </c>
      <c r="I1276" t="s">
        <v>14</v>
      </c>
      <c r="J1276" t="s">
        <v>15</v>
      </c>
    </row>
    <row r="1277" spans="1:10">
      <c r="A1277" s="2" t="str">
        <f>"1274"</f>
        <v>1274</v>
      </c>
      <c r="B1277" s="2" t="s">
        <v>9</v>
      </c>
      <c r="C1277" s="2" t="str">
        <f>"1 (1)"</f>
        <v>1 (1)</v>
      </c>
      <c r="D1277" s="2" t="s">
        <v>4202</v>
      </c>
      <c r="E1277" s="5" t="s">
        <v>4203</v>
      </c>
      <c r="F1277" s="3" t="s">
        <v>4204</v>
      </c>
      <c r="G1277" s="3" t="s">
        <v>4205</v>
      </c>
      <c r="H1277" s="2" t="str">
        <f>"2012"</f>
        <v>2012</v>
      </c>
      <c r="I1277" t="s">
        <v>14</v>
      </c>
      <c r="J1277" t="s">
        <v>15</v>
      </c>
    </row>
    <row r="1278" spans="1:10">
      <c r="A1278" s="2" t="str">
        <f>"1275"</f>
        <v>1275</v>
      </c>
      <c r="B1278" s="2" t="s">
        <v>9</v>
      </c>
      <c r="C1278" s="2" t="str">
        <f>"1 (1)"</f>
        <v>1 (1)</v>
      </c>
      <c r="D1278" s="2" t="s">
        <v>4206</v>
      </c>
      <c r="E1278" s="5" t="s">
        <v>4207</v>
      </c>
      <c r="F1278" s="3" t="s">
        <v>2582</v>
      </c>
      <c r="G1278" s="3" t="s">
        <v>4208</v>
      </c>
      <c r="H1278" s="2" t="str">
        <f>"2009"</f>
        <v>2009</v>
      </c>
      <c r="I1278" t="s">
        <v>14</v>
      </c>
      <c r="J1278" t="s">
        <v>15</v>
      </c>
    </row>
    <row r="1279" spans="1:10">
      <c r="A1279" s="2" t="str">
        <f>"1276"</f>
        <v>1276</v>
      </c>
      <c r="B1279" s="2" t="s">
        <v>9</v>
      </c>
      <c r="C1279" s="2" t="str">
        <f>"1 (1)"</f>
        <v>1 (1)</v>
      </c>
      <c r="D1279" s="2" t="s">
        <v>4209</v>
      </c>
      <c r="E1279" s="5" t="s">
        <v>4210</v>
      </c>
      <c r="F1279" s="3" t="s">
        <v>4211</v>
      </c>
      <c r="G1279" s="3" t="s">
        <v>4212</v>
      </c>
      <c r="H1279" s="2" t="str">
        <f>"2012"</f>
        <v>2012</v>
      </c>
      <c r="I1279" t="s">
        <v>14</v>
      </c>
      <c r="J1279" t="s">
        <v>15</v>
      </c>
    </row>
    <row r="1280" spans="1:10">
      <c r="A1280" s="2" t="str">
        <f>"1277"</f>
        <v>1277</v>
      </c>
      <c r="B1280" s="2" t="s">
        <v>9</v>
      </c>
      <c r="C1280" s="2" t="str">
        <f>"1 (1)"</f>
        <v>1 (1)</v>
      </c>
      <c r="D1280" s="2" t="s">
        <v>4213</v>
      </c>
      <c r="E1280" s="5" t="s">
        <v>4214</v>
      </c>
      <c r="F1280" s="3" t="s">
        <v>4215</v>
      </c>
      <c r="G1280" s="3" t="s">
        <v>4216</v>
      </c>
      <c r="H1280" s="2" t="str">
        <f>"2012"</f>
        <v>2012</v>
      </c>
      <c r="I1280" t="s">
        <v>14</v>
      </c>
      <c r="J1280" t="s">
        <v>15</v>
      </c>
    </row>
    <row r="1281" spans="1:10">
      <c r="A1281" s="2" t="str">
        <f>"1278"</f>
        <v>1278</v>
      </c>
      <c r="B1281" s="2" t="s">
        <v>9</v>
      </c>
      <c r="C1281" s="2" t="str">
        <f>"1 (1)"</f>
        <v>1 (1)</v>
      </c>
      <c r="D1281" s="2" t="s">
        <v>4217</v>
      </c>
      <c r="E1281" s="5" t="s">
        <v>4218</v>
      </c>
      <c r="F1281" s="3" t="s">
        <v>3785</v>
      </c>
      <c r="G1281" s="3" t="s">
        <v>3786</v>
      </c>
      <c r="H1281" s="2" t="str">
        <f>"2011"</f>
        <v>2011</v>
      </c>
      <c r="I1281" t="s">
        <v>14</v>
      </c>
      <c r="J1281" t="s">
        <v>15</v>
      </c>
    </row>
    <row r="1282" spans="1:10">
      <c r="A1282" s="2" t="str">
        <f>"1279"</f>
        <v>1279</v>
      </c>
      <c r="B1282" s="2" t="s">
        <v>9</v>
      </c>
      <c r="C1282" s="2" t="str">
        <f>"1 (1)"</f>
        <v>1 (1)</v>
      </c>
      <c r="D1282" s="2" t="s">
        <v>4219</v>
      </c>
      <c r="E1282" s="5" t="s">
        <v>4220</v>
      </c>
      <c r="F1282" s="3" t="s">
        <v>4221</v>
      </c>
      <c r="G1282" s="3" t="s">
        <v>4222</v>
      </c>
      <c r="H1282" s="2" t="str">
        <f>"2012"</f>
        <v>2012</v>
      </c>
      <c r="I1282" t="s">
        <v>14</v>
      </c>
      <c r="J1282" t="s">
        <v>15</v>
      </c>
    </row>
    <row r="1283" spans="1:10">
      <c r="A1283" s="2" t="str">
        <f>"1280"</f>
        <v>1280</v>
      </c>
      <c r="B1283" s="2" t="s">
        <v>9</v>
      </c>
      <c r="C1283" s="2" t="str">
        <f>"1 (1)"</f>
        <v>1 (1)</v>
      </c>
      <c r="D1283" s="2" t="s">
        <v>4223</v>
      </c>
      <c r="E1283" s="5" t="s">
        <v>4224</v>
      </c>
      <c r="F1283" s="3" t="s">
        <v>4225</v>
      </c>
      <c r="G1283" s="3" t="s">
        <v>4226</v>
      </c>
      <c r="H1283" s="2" t="str">
        <f>"2012"</f>
        <v>2012</v>
      </c>
      <c r="I1283" t="s">
        <v>14</v>
      </c>
      <c r="J1283" t="s">
        <v>15</v>
      </c>
    </row>
    <row r="1284" spans="1:10">
      <c r="A1284" s="2" t="str">
        <f>"1281"</f>
        <v>1281</v>
      </c>
      <c r="B1284" s="2" t="s">
        <v>9</v>
      </c>
      <c r="C1284" s="2" t="str">
        <f>"1 (1)"</f>
        <v>1 (1)</v>
      </c>
      <c r="D1284" s="2" t="s">
        <v>4227</v>
      </c>
      <c r="E1284" s="5" t="s">
        <v>4228</v>
      </c>
      <c r="F1284" s="3" t="s">
        <v>4229</v>
      </c>
      <c r="G1284" s="3" t="s">
        <v>4230</v>
      </c>
      <c r="H1284" s="2" t="str">
        <f>"2012"</f>
        <v>2012</v>
      </c>
      <c r="I1284" t="s">
        <v>14</v>
      </c>
      <c r="J1284" t="s">
        <v>15</v>
      </c>
    </row>
    <row r="1285" spans="1:10">
      <c r="A1285" s="2" t="str">
        <f>"1282"</f>
        <v>1282</v>
      </c>
      <c r="B1285" s="2" t="s">
        <v>9</v>
      </c>
      <c r="C1285" s="2" t="str">
        <f>"1 (1)"</f>
        <v>1 (1)</v>
      </c>
      <c r="D1285" s="2" t="s">
        <v>4231</v>
      </c>
      <c r="E1285" s="5" t="s">
        <v>4232</v>
      </c>
      <c r="F1285" s="3" t="s">
        <v>4233</v>
      </c>
      <c r="G1285" s="3" t="s">
        <v>4234</v>
      </c>
      <c r="H1285" s="2" t="str">
        <f>"2012"</f>
        <v>2012</v>
      </c>
      <c r="I1285" t="s">
        <v>14</v>
      </c>
      <c r="J1285" t="s">
        <v>15</v>
      </c>
    </row>
    <row r="1286" spans="1:10">
      <c r="A1286" s="2" t="str">
        <f>"1283"</f>
        <v>1283</v>
      </c>
      <c r="B1286" s="2" t="s">
        <v>9</v>
      </c>
      <c r="C1286" s="2" t="str">
        <f>"1 (1)"</f>
        <v>1 (1)</v>
      </c>
      <c r="D1286" s="2" t="s">
        <v>4235</v>
      </c>
      <c r="E1286" s="5" t="s">
        <v>4236</v>
      </c>
      <c r="F1286" s="3" t="s">
        <v>4237</v>
      </c>
      <c r="G1286" s="3" t="s">
        <v>4238</v>
      </c>
      <c r="H1286" s="2" t="str">
        <f>"2012"</f>
        <v>2012</v>
      </c>
      <c r="I1286" t="s">
        <v>14</v>
      </c>
      <c r="J1286" t="s">
        <v>15</v>
      </c>
    </row>
    <row r="1287" spans="1:10">
      <c r="A1287" s="2" t="str">
        <f>"1284"</f>
        <v>1284</v>
      </c>
      <c r="B1287" s="2" t="s">
        <v>9</v>
      </c>
      <c r="C1287" s="2" t="str">
        <f>"1 (1)"</f>
        <v>1 (1)</v>
      </c>
      <c r="D1287" s="2" t="s">
        <v>4239</v>
      </c>
      <c r="E1287" s="5" t="s">
        <v>4240</v>
      </c>
      <c r="F1287" s="3" t="s">
        <v>4241</v>
      </c>
      <c r="G1287" s="3" t="s">
        <v>4242</v>
      </c>
      <c r="H1287" s="2" t="str">
        <f>"2012"</f>
        <v>2012</v>
      </c>
      <c r="I1287" t="s">
        <v>14</v>
      </c>
      <c r="J1287" t="s">
        <v>15</v>
      </c>
    </row>
    <row r="1288" spans="1:10">
      <c r="A1288" s="2" t="str">
        <f>"1285"</f>
        <v>1285</v>
      </c>
      <c r="B1288" s="2" t="s">
        <v>9</v>
      </c>
      <c r="C1288" s="2" t="str">
        <f>"1 (1)"</f>
        <v>1 (1)</v>
      </c>
      <c r="D1288" s="2" t="s">
        <v>4243</v>
      </c>
      <c r="E1288" s="5" t="s">
        <v>4244</v>
      </c>
      <c r="F1288" s="3" t="s">
        <v>4245</v>
      </c>
      <c r="G1288" s="3" t="s">
        <v>4157</v>
      </c>
      <c r="H1288" s="2" t="str">
        <f>"2012"</f>
        <v>2012</v>
      </c>
      <c r="I1288" t="s">
        <v>14</v>
      </c>
      <c r="J1288" t="s">
        <v>15</v>
      </c>
    </row>
    <row r="1289" spans="1:10">
      <c r="A1289" s="2" t="str">
        <f>"1286"</f>
        <v>1286</v>
      </c>
      <c r="B1289" s="2" t="s">
        <v>9</v>
      </c>
      <c r="C1289" s="2" t="str">
        <f>"1 (1)"</f>
        <v>1 (1)</v>
      </c>
      <c r="D1289" s="2" t="s">
        <v>4246</v>
      </c>
      <c r="E1289" s="5" t="s">
        <v>4247</v>
      </c>
      <c r="F1289" s="3" t="s">
        <v>4248</v>
      </c>
      <c r="G1289" s="3" t="s">
        <v>4249</v>
      </c>
      <c r="H1289" s="2" t="str">
        <f>"2012"</f>
        <v>2012</v>
      </c>
      <c r="I1289" t="s">
        <v>14</v>
      </c>
      <c r="J1289" t="s">
        <v>15</v>
      </c>
    </row>
    <row r="1290" spans="1:10">
      <c r="A1290" s="2" t="str">
        <f>"1287"</f>
        <v>1287</v>
      </c>
      <c r="B1290" s="2" t="s">
        <v>9</v>
      </c>
      <c r="C1290" s="2" t="str">
        <f>"1 (1)"</f>
        <v>1 (1)</v>
      </c>
      <c r="D1290" s="2" t="s">
        <v>4250</v>
      </c>
      <c r="E1290" s="5" t="s">
        <v>4251</v>
      </c>
      <c r="F1290" s="3" t="s">
        <v>4252</v>
      </c>
      <c r="G1290" s="3" t="s">
        <v>2446</v>
      </c>
      <c r="H1290" s="2" t="str">
        <f>"2009"</f>
        <v>2009</v>
      </c>
      <c r="I1290" t="s">
        <v>14</v>
      </c>
      <c r="J1290" t="s">
        <v>15</v>
      </c>
    </row>
    <row r="1291" spans="1:10">
      <c r="A1291" s="2" t="str">
        <f>"1288"</f>
        <v>1288</v>
      </c>
      <c r="B1291" s="2" t="s">
        <v>9</v>
      </c>
      <c r="C1291" s="2" t="str">
        <f>"1 (1)"</f>
        <v>1 (1)</v>
      </c>
      <c r="D1291" s="2" t="s">
        <v>4253</v>
      </c>
      <c r="E1291" s="5" t="s">
        <v>4254</v>
      </c>
      <c r="F1291" s="3" t="s">
        <v>4255</v>
      </c>
      <c r="G1291" s="3" t="s">
        <v>3277</v>
      </c>
      <c r="H1291" s="2" t="str">
        <f>"2012"</f>
        <v>2012</v>
      </c>
      <c r="I1291" t="s">
        <v>14</v>
      </c>
      <c r="J1291" t="s">
        <v>15</v>
      </c>
    </row>
    <row r="1292" spans="1:10">
      <c r="A1292" s="2" t="str">
        <f>"1289"</f>
        <v>1289</v>
      </c>
      <c r="B1292" s="2" t="s">
        <v>9</v>
      </c>
      <c r="C1292" s="2" t="str">
        <f>"1 (1)"</f>
        <v>1 (1)</v>
      </c>
      <c r="D1292" s="2" t="s">
        <v>4256</v>
      </c>
      <c r="E1292" s="5" t="s">
        <v>4257</v>
      </c>
      <c r="F1292" s="3" t="s">
        <v>4258</v>
      </c>
      <c r="G1292" s="3" t="s">
        <v>4125</v>
      </c>
      <c r="H1292" s="2" t="str">
        <f>"2012"</f>
        <v>2012</v>
      </c>
      <c r="I1292" t="s">
        <v>14</v>
      </c>
      <c r="J1292" t="s">
        <v>15</v>
      </c>
    </row>
    <row r="1293" spans="1:10">
      <c r="A1293" s="2" t="str">
        <f>"1290"</f>
        <v>1290</v>
      </c>
      <c r="B1293" s="2" t="s">
        <v>9</v>
      </c>
      <c r="C1293" s="2" t="str">
        <f>"1 (1)"</f>
        <v>1 (1)</v>
      </c>
      <c r="D1293" s="2" t="s">
        <v>4259</v>
      </c>
      <c r="E1293" s="5" t="s">
        <v>4260</v>
      </c>
      <c r="F1293" s="3" t="s">
        <v>4261</v>
      </c>
      <c r="G1293" s="3" t="s">
        <v>4121</v>
      </c>
      <c r="H1293" s="2" t="str">
        <f>"2012"</f>
        <v>2012</v>
      </c>
      <c r="I1293" t="s">
        <v>14</v>
      </c>
      <c r="J1293" t="s">
        <v>15</v>
      </c>
    </row>
    <row r="1294" spans="1:10">
      <c r="A1294" s="2" t="str">
        <f>"1291"</f>
        <v>1291</v>
      </c>
      <c r="B1294" s="2" t="s">
        <v>9</v>
      </c>
      <c r="C1294" s="2" t="str">
        <f>"1 (1)"</f>
        <v>1 (1)</v>
      </c>
      <c r="D1294" s="2" t="s">
        <v>4262</v>
      </c>
      <c r="E1294" s="5" t="s">
        <v>4263</v>
      </c>
      <c r="F1294" s="3" t="s">
        <v>4264</v>
      </c>
      <c r="G1294" s="3" t="s">
        <v>4090</v>
      </c>
      <c r="H1294" s="2" t="str">
        <f>"2012"</f>
        <v>2012</v>
      </c>
      <c r="I1294" t="s">
        <v>14</v>
      </c>
      <c r="J1294" t="s">
        <v>15</v>
      </c>
    </row>
    <row r="1295" spans="1:10">
      <c r="A1295" s="2" t="str">
        <f>"1292"</f>
        <v>1292</v>
      </c>
      <c r="B1295" s="2" t="s">
        <v>9</v>
      </c>
      <c r="C1295" s="2" t="str">
        <f>"1 (1)"</f>
        <v>1 (1)</v>
      </c>
      <c r="D1295" s="2" t="s">
        <v>4265</v>
      </c>
      <c r="E1295" s="5" t="s">
        <v>4266</v>
      </c>
      <c r="F1295" s="3" t="s">
        <v>4267</v>
      </c>
      <c r="G1295" s="3" t="s">
        <v>4078</v>
      </c>
      <c r="H1295" s="2" t="str">
        <f>"2012"</f>
        <v>2012</v>
      </c>
      <c r="I1295" t="s">
        <v>14</v>
      </c>
      <c r="J1295" t="s">
        <v>15</v>
      </c>
    </row>
    <row r="1296" spans="1:10">
      <c r="A1296" s="2" t="str">
        <f>"1293"</f>
        <v>1293</v>
      </c>
      <c r="B1296" s="2" t="s">
        <v>9</v>
      </c>
      <c r="C1296" s="2" t="str">
        <f>"1 (1)"</f>
        <v>1 (1)</v>
      </c>
      <c r="D1296" s="2" t="s">
        <v>4268</v>
      </c>
      <c r="E1296" s="5" t="s">
        <v>4269</v>
      </c>
      <c r="F1296" s="3" t="s">
        <v>4270</v>
      </c>
      <c r="G1296" s="3" t="s">
        <v>3793</v>
      </c>
      <c r="H1296" s="2" t="str">
        <f>"2012"</f>
        <v>2012</v>
      </c>
      <c r="I1296" t="s">
        <v>14</v>
      </c>
      <c r="J1296" t="s">
        <v>15</v>
      </c>
    </row>
    <row r="1297" spans="1:10">
      <c r="A1297" s="2" t="str">
        <f>"1294"</f>
        <v>1294</v>
      </c>
      <c r="B1297" s="2" t="s">
        <v>9</v>
      </c>
      <c r="C1297" s="2" t="str">
        <f>"1 (1)"</f>
        <v>1 (1)</v>
      </c>
      <c r="D1297" s="2" t="s">
        <v>4271</v>
      </c>
      <c r="E1297" s="5" t="s">
        <v>4272</v>
      </c>
      <c r="F1297" s="3" t="s">
        <v>4273</v>
      </c>
      <c r="G1297" s="3" t="s">
        <v>4274</v>
      </c>
      <c r="H1297" s="2" t="str">
        <f>"2012"</f>
        <v>2012</v>
      </c>
      <c r="I1297" t="s">
        <v>14</v>
      </c>
      <c r="J1297" t="s">
        <v>15</v>
      </c>
    </row>
    <row r="1298" spans="1:10">
      <c r="A1298" s="2" t="str">
        <f>"1295"</f>
        <v>1295</v>
      </c>
      <c r="B1298" s="2" t="s">
        <v>9</v>
      </c>
      <c r="C1298" s="2" t="str">
        <f>"1 (1)"</f>
        <v>1 (1)</v>
      </c>
      <c r="D1298" s="2" t="s">
        <v>4275</v>
      </c>
      <c r="E1298" s="5" t="s">
        <v>4276</v>
      </c>
      <c r="F1298" s="3" t="s">
        <v>4277</v>
      </c>
      <c r="G1298" s="3" t="s">
        <v>4278</v>
      </c>
      <c r="H1298" s="2" t="str">
        <f>"2013"</f>
        <v>2013</v>
      </c>
      <c r="I1298" t="s">
        <v>14</v>
      </c>
      <c r="J1298" t="s">
        <v>15</v>
      </c>
    </row>
    <row r="1299" spans="1:10">
      <c r="A1299" s="2" t="str">
        <f>"1296"</f>
        <v>1296</v>
      </c>
      <c r="B1299" s="2" t="s">
        <v>9</v>
      </c>
      <c r="C1299" s="2" t="str">
        <f>"1 (1)"</f>
        <v>1 (1)</v>
      </c>
      <c r="D1299" s="2" t="s">
        <v>4279</v>
      </c>
      <c r="E1299" s="5" t="s">
        <v>4280</v>
      </c>
      <c r="F1299" s="3" t="s">
        <v>4281</v>
      </c>
      <c r="G1299" s="3" t="s">
        <v>4078</v>
      </c>
      <c r="H1299" s="2" t="str">
        <f>"2012"</f>
        <v>2012</v>
      </c>
      <c r="I1299" t="s">
        <v>14</v>
      </c>
      <c r="J1299" t="s">
        <v>15</v>
      </c>
    </row>
    <row r="1300" spans="1:10">
      <c r="A1300" s="2" t="str">
        <f>"1297"</f>
        <v>1297</v>
      </c>
      <c r="B1300" s="2" t="s">
        <v>9</v>
      </c>
      <c r="C1300" s="2" t="str">
        <f>"1 (1)"</f>
        <v>1 (1)</v>
      </c>
      <c r="D1300" s="2" t="s">
        <v>4282</v>
      </c>
      <c r="E1300" s="5" t="s">
        <v>4283</v>
      </c>
      <c r="F1300" s="3" t="s">
        <v>4284</v>
      </c>
      <c r="G1300" s="3" t="s">
        <v>4285</v>
      </c>
      <c r="H1300" s="2" t="str">
        <f>"2013"</f>
        <v>2013</v>
      </c>
      <c r="I1300" t="s">
        <v>14</v>
      </c>
      <c r="J1300" t="s">
        <v>15</v>
      </c>
    </row>
    <row r="1301" spans="1:10">
      <c r="A1301" s="2" t="str">
        <f>"1298"</f>
        <v>1298</v>
      </c>
      <c r="B1301" s="2" t="s">
        <v>9</v>
      </c>
      <c r="C1301" s="2" t="str">
        <f>"1 (1)"</f>
        <v>1 (1)</v>
      </c>
      <c r="D1301" s="2" t="s">
        <v>4286</v>
      </c>
      <c r="E1301" s="5" t="s">
        <v>4287</v>
      </c>
      <c r="F1301" s="3" t="s">
        <v>4288</v>
      </c>
      <c r="G1301" s="3" t="s">
        <v>4289</v>
      </c>
      <c r="H1301" s="2" t="str">
        <f>"2013"</f>
        <v>2013</v>
      </c>
      <c r="I1301" t="s">
        <v>14</v>
      </c>
      <c r="J1301" t="s">
        <v>15</v>
      </c>
    </row>
    <row r="1302" spans="1:10">
      <c r="A1302" s="2" t="str">
        <f>"1299"</f>
        <v>1299</v>
      </c>
      <c r="B1302" s="2" t="s">
        <v>9</v>
      </c>
      <c r="C1302" s="2" t="str">
        <f>"1 (1)"</f>
        <v>1 (1)</v>
      </c>
      <c r="D1302" s="2" t="s">
        <v>4290</v>
      </c>
      <c r="E1302" s="5" t="s">
        <v>4291</v>
      </c>
      <c r="F1302" s="3" t="s">
        <v>4292</v>
      </c>
      <c r="G1302" s="3" t="s">
        <v>2488</v>
      </c>
      <c r="H1302" s="2" t="str">
        <f>"2013"</f>
        <v>2013</v>
      </c>
      <c r="I1302" t="s">
        <v>14</v>
      </c>
      <c r="J1302" t="s">
        <v>15</v>
      </c>
    </row>
    <row r="1303" spans="1:10">
      <c r="A1303" s="2" t="str">
        <f>"1300"</f>
        <v>1300</v>
      </c>
      <c r="B1303" s="2" t="s">
        <v>9</v>
      </c>
      <c r="C1303" s="2" t="str">
        <f>"1 (1)"</f>
        <v>1 (1)</v>
      </c>
      <c r="D1303" s="2" t="s">
        <v>4293</v>
      </c>
      <c r="E1303" s="5" t="s">
        <v>4294</v>
      </c>
      <c r="F1303" s="3" t="s">
        <v>4295</v>
      </c>
      <c r="G1303" s="3" t="s">
        <v>4296</v>
      </c>
      <c r="H1303" s="2" t="str">
        <f>"2012"</f>
        <v>2012</v>
      </c>
      <c r="I1303" t="s">
        <v>14</v>
      </c>
      <c r="J1303" t="s">
        <v>15</v>
      </c>
    </row>
    <row r="1304" spans="1:10">
      <c r="A1304" s="2" t="str">
        <f>"1301"</f>
        <v>1301</v>
      </c>
      <c r="B1304" s="2" t="s">
        <v>9</v>
      </c>
      <c r="C1304" s="2" t="str">
        <f>"1 (1)"</f>
        <v>1 (1)</v>
      </c>
      <c r="D1304" s="2" t="s">
        <v>4297</v>
      </c>
      <c r="E1304" s="5" t="s">
        <v>4298</v>
      </c>
      <c r="F1304" s="3" t="s">
        <v>4299</v>
      </c>
      <c r="G1304" s="3" t="s">
        <v>4300</v>
      </c>
      <c r="H1304" s="2" t="str">
        <f>"2013"</f>
        <v>2013</v>
      </c>
      <c r="I1304" t="s">
        <v>14</v>
      </c>
      <c r="J1304" t="s">
        <v>15</v>
      </c>
    </row>
    <row r="1305" spans="1:10">
      <c r="A1305" s="2" t="str">
        <f>"1302"</f>
        <v>1302</v>
      </c>
      <c r="B1305" s="2" t="s">
        <v>9</v>
      </c>
      <c r="C1305" s="2" t="str">
        <f>"1 (1)"</f>
        <v>1 (1)</v>
      </c>
      <c r="D1305" s="2" t="s">
        <v>4301</v>
      </c>
      <c r="E1305" s="5" t="s">
        <v>4302</v>
      </c>
      <c r="F1305" s="3" t="s">
        <v>4303</v>
      </c>
      <c r="G1305" s="3" t="s">
        <v>4304</v>
      </c>
      <c r="H1305" s="2" t="str">
        <f>"2012"</f>
        <v>2012</v>
      </c>
      <c r="I1305" t="s">
        <v>14</v>
      </c>
      <c r="J1305" t="s">
        <v>15</v>
      </c>
    </row>
    <row r="1306" spans="1:10">
      <c r="A1306" s="2" t="str">
        <f>"1303"</f>
        <v>1303</v>
      </c>
      <c r="B1306" s="2" t="s">
        <v>9</v>
      </c>
      <c r="C1306" s="2" t="str">
        <f>"1 (1)"</f>
        <v>1 (1)</v>
      </c>
      <c r="D1306" s="2" t="s">
        <v>4305</v>
      </c>
      <c r="E1306" s="5" t="s">
        <v>4306</v>
      </c>
      <c r="F1306" s="3" t="s">
        <v>4307</v>
      </c>
      <c r="G1306" s="3" t="s">
        <v>4304</v>
      </c>
      <c r="H1306" s="2" t="str">
        <f>"2012"</f>
        <v>2012</v>
      </c>
      <c r="I1306" t="s">
        <v>14</v>
      </c>
      <c r="J1306" t="s">
        <v>15</v>
      </c>
    </row>
    <row r="1307" spans="1:10">
      <c r="A1307" s="2" t="str">
        <f>"1304"</f>
        <v>1304</v>
      </c>
      <c r="B1307" s="2" t="s">
        <v>9</v>
      </c>
      <c r="C1307" s="2" t="str">
        <f>"1 (1)"</f>
        <v>1 (1)</v>
      </c>
      <c r="D1307" s="2" t="s">
        <v>4308</v>
      </c>
      <c r="E1307" s="5" t="s">
        <v>4309</v>
      </c>
      <c r="F1307" s="3" t="s">
        <v>4310</v>
      </c>
      <c r="G1307" s="3" t="s">
        <v>4311</v>
      </c>
      <c r="H1307" s="2" t="str">
        <f>"2007"</f>
        <v>2007</v>
      </c>
      <c r="I1307" t="s">
        <v>14</v>
      </c>
      <c r="J1307" t="s">
        <v>15</v>
      </c>
    </row>
    <row r="1308" spans="1:10">
      <c r="A1308" s="2" t="str">
        <f>"1305"</f>
        <v>1305</v>
      </c>
      <c r="B1308" s="2" t="s">
        <v>9</v>
      </c>
      <c r="C1308" s="2" t="str">
        <f>"1 (1)"</f>
        <v>1 (1)</v>
      </c>
      <c r="D1308" s="2" t="s">
        <v>4312</v>
      </c>
      <c r="E1308" s="5" t="s">
        <v>4313</v>
      </c>
      <c r="F1308" s="3" t="s">
        <v>4314</v>
      </c>
      <c r="G1308" s="3" t="s">
        <v>3198</v>
      </c>
      <c r="H1308" s="2" t="str">
        <f>"2013"</f>
        <v>2013</v>
      </c>
      <c r="I1308" t="s">
        <v>14</v>
      </c>
      <c r="J1308" t="s">
        <v>15</v>
      </c>
    </row>
    <row r="1309" spans="1:10">
      <c r="A1309" s="2" t="str">
        <f>"1306"</f>
        <v>1306</v>
      </c>
      <c r="B1309" s="2" t="s">
        <v>9</v>
      </c>
      <c r="C1309" s="2" t="str">
        <f>"1 (1)"</f>
        <v>1 (1)</v>
      </c>
      <c r="D1309" s="2" t="s">
        <v>4315</v>
      </c>
      <c r="E1309" s="5" t="s">
        <v>4316</v>
      </c>
      <c r="F1309" s="3" t="s">
        <v>4317</v>
      </c>
      <c r="G1309" s="3" t="s">
        <v>4318</v>
      </c>
      <c r="H1309" s="2" t="str">
        <f>"2013"</f>
        <v>2013</v>
      </c>
      <c r="I1309" t="s">
        <v>14</v>
      </c>
      <c r="J1309" t="s">
        <v>15</v>
      </c>
    </row>
    <row r="1310" spans="1:10">
      <c r="A1310" s="2" t="str">
        <f>"1307"</f>
        <v>1307</v>
      </c>
      <c r="B1310" s="2" t="s">
        <v>9</v>
      </c>
      <c r="C1310" s="2" t="str">
        <f>"1 (1)"</f>
        <v>1 (1)</v>
      </c>
      <c r="D1310" s="2" t="s">
        <v>4319</v>
      </c>
      <c r="E1310" s="5" t="s">
        <v>4320</v>
      </c>
      <c r="F1310" s="3" t="s">
        <v>4321</v>
      </c>
      <c r="G1310" s="3" t="s">
        <v>4322</v>
      </c>
      <c r="H1310" s="2" t="str">
        <f>"2013"</f>
        <v>2013</v>
      </c>
      <c r="I1310" t="s">
        <v>14</v>
      </c>
      <c r="J1310" t="s">
        <v>15</v>
      </c>
    </row>
    <row r="1311" spans="1:10">
      <c r="A1311" s="2" t="str">
        <f>"1308"</f>
        <v>1308</v>
      </c>
      <c r="B1311" s="2" t="s">
        <v>9</v>
      </c>
      <c r="C1311" s="2" t="str">
        <f>"1 (1)"</f>
        <v>1 (1)</v>
      </c>
      <c r="D1311" s="2" t="s">
        <v>4323</v>
      </c>
      <c r="E1311" s="5" t="s">
        <v>4324</v>
      </c>
      <c r="F1311" s="3" t="s">
        <v>4325</v>
      </c>
      <c r="G1311" s="3" t="s">
        <v>443</v>
      </c>
      <c r="H1311" s="2" t="str">
        <f>"2013"</f>
        <v>2013</v>
      </c>
      <c r="I1311" t="s">
        <v>14</v>
      </c>
      <c r="J1311" t="s">
        <v>15</v>
      </c>
    </row>
    <row r="1312" spans="1:10">
      <c r="A1312" s="2" t="str">
        <f>"1309"</f>
        <v>1309</v>
      </c>
      <c r="B1312" s="2" t="s">
        <v>9</v>
      </c>
      <c r="C1312" s="2" t="str">
        <f>"1 (1)"</f>
        <v>1 (1)</v>
      </c>
      <c r="D1312" s="2" t="s">
        <v>4326</v>
      </c>
      <c r="E1312" s="5" t="s">
        <v>4327</v>
      </c>
      <c r="F1312" s="3" t="s">
        <v>4328</v>
      </c>
      <c r="G1312" s="3" t="s">
        <v>4329</v>
      </c>
      <c r="H1312" s="2" t="str">
        <f>"2013"</f>
        <v>2013</v>
      </c>
      <c r="I1312" t="s">
        <v>14</v>
      </c>
      <c r="J1312" t="s">
        <v>15</v>
      </c>
    </row>
    <row r="1313" spans="1:10">
      <c r="A1313" s="2" t="str">
        <f>"1310"</f>
        <v>1310</v>
      </c>
      <c r="B1313" s="2" t="s">
        <v>9</v>
      </c>
      <c r="C1313" s="2" t="str">
        <f>"1 (1)"</f>
        <v>1 (1)</v>
      </c>
      <c r="D1313" s="2" t="s">
        <v>4330</v>
      </c>
      <c r="E1313" s="5" t="s">
        <v>4331</v>
      </c>
      <c r="F1313" s="3" t="s">
        <v>4332</v>
      </c>
      <c r="G1313" s="3" t="s">
        <v>3739</v>
      </c>
      <c r="H1313" s="2" t="str">
        <f>"2013"</f>
        <v>2013</v>
      </c>
      <c r="I1313" t="s">
        <v>14</v>
      </c>
      <c r="J1313" t="s">
        <v>15</v>
      </c>
    </row>
    <row r="1314" spans="1:10">
      <c r="A1314" s="2" t="str">
        <f>"1311"</f>
        <v>1311</v>
      </c>
      <c r="B1314" s="2" t="s">
        <v>9</v>
      </c>
      <c r="C1314" s="2" t="str">
        <f>"1 (1)"</f>
        <v>1 (1)</v>
      </c>
      <c r="D1314" s="2" t="s">
        <v>4333</v>
      </c>
      <c r="E1314" s="5" t="s">
        <v>4334</v>
      </c>
      <c r="F1314" s="3" t="s">
        <v>4335</v>
      </c>
      <c r="G1314" s="3" t="s">
        <v>2033</v>
      </c>
      <c r="H1314" s="2" t="str">
        <f>"2013"</f>
        <v>2013</v>
      </c>
      <c r="I1314" t="s">
        <v>14</v>
      </c>
      <c r="J1314" t="s">
        <v>15</v>
      </c>
    </row>
    <row r="1315" spans="1:10">
      <c r="A1315" s="2" t="str">
        <f>"1312"</f>
        <v>1312</v>
      </c>
      <c r="B1315" s="2" t="s">
        <v>9</v>
      </c>
      <c r="C1315" s="2" t="str">
        <f>"1 (1)"</f>
        <v>1 (1)</v>
      </c>
      <c r="D1315" s="2" t="s">
        <v>4336</v>
      </c>
      <c r="E1315" s="5" t="s">
        <v>4337</v>
      </c>
      <c r="F1315" s="3" t="s">
        <v>4338</v>
      </c>
      <c r="G1315" s="3" t="s">
        <v>4339</v>
      </c>
      <c r="H1315" s="2" t="str">
        <f>"2013"</f>
        <v>2013</v>
      </c>
      <c r="I1315" t="s">
        <v>14</v>
      </c>
      <c r="J1315" t="s">
        <v>15</v>
      </c>
    </row>
    <row r="1316" spans="1:10">
      <c r="A1316" s="2" t="str">
        <f>"1313"</f>
        <v>1313</v>
      </c>
      <c r="B1316" s="2" t="s">
        <v>9</v>
      </c>
      <c r="C1316" s="2" t="str">
        <f>"1 (1)"</f>
        <v>1 (1)</v>
      </c>
      <c r="D1316" s="2" t="s">
        <v>4340</v>
      </c>
      <c r="E1316" s="5" t="s">
        <v>4341</v>
      </c>
      <c r="F1316" s="3" t="s">
        <v>4342</v>
      </c>
      <c r="G1316" s="3" t="s">
        <v>4343</v>
      </c>
      <c r="H1316" s="2" t="str">
        <f>"2012"</f>
        <v>2012</v>
      </c>
      <c r="I1316" t="s">
        <v>14</v>
      </c>
      <c r="J1316" t="s">
        <v>15</v>
      </c>
    </row>
    <row r="1317" spans="1:10">
      <c r="A1317" s="2" t="str">
        <f>"1314"</f>
        <v>1314</v>
      </c>
      <c r="B1317" s="2" t="s">
        <v>9</v>
      </c>
      <c r="C1317" s="2" t="str">
        <f>"1 (1)"</f>
        <v>1 (1)</v>
      </c>
      <c r="D1317" s="2" t="s">
        <v>4344</v>
      </c>
      <c r="E1317" s="5" t="s">
        <v>4345</v>
      </c>
      <c r="F1317" s="3" t="s">
        <v>4346</v>
      </c>
      <c r="G1317" s="3" t="s">
        <v>3012</v>
      </c>
      <c r="H1317" s="2" t="str">
        <f>"2013"</f>
        <v>2013</v>
      </c>
      <c r="I1317" t="s">
        <v>14</v>
      </c>
      <c r="J1317" t="s">
        <v>15</v>
      </c>
    </row>
    <row r="1318" spans="1:10">
      <c r="A1318" s="2" t="str">
        <f>"1315"</f>
        <v>1315</v>
      </c>
      <c r="B1318" s="2" t="s">
        <v>9</v>
      </c>
      <c r="C1318" s="2" t="str">
        <f>"1 (1)"</f>
        <v>1 (1)</v>
      </c>
      <c r="D1318" s="2" t="s">
        <v>4347</v>
      </c>
      <c r="E1318" s="5" t="s">
        <v>4348</v>
      </c>
      <c r="F1318" s="3" t="s">
        <v>4349</v>
      </c>
      <c r="G1318" s="3" t="s">
        <v>2176</v>
      </c>
      <c r="H1318" s="2" t="str">
        <f>"2013"</f>
        <v>2013</v>
      </c>
      <c r="I1318" t="s">
        <v>14</v>
      </c>
      <c r="J1318" t="s">
        <v>15</v>
      </c>
    </row>
    <row r="1319" spans="1:10">
      <c r="A1319" s="2" t="str">
        <f>"1316"</f>
        <v>1316</v>
      </c>
      <c r="B1319" s="2" t="s">
        <v>9</v>
      </c>
      <c r="C1319" s="2" t="str">
        <f>"1 (1)"</f>
        <v>1 (1)</v>
      </c>
      <c r="D1319" s="2" t="s">
        <v>4350</v>
      </c>
      <c r="E1319" s="5" t="s">
        <v>4351</v>
      </c>
      <c r="F1319" s="3" t="s">
        <v>4352</v>
      </c>
      <c r="G1319" s="3" t="s">
        <v>4353</v>
      </c>
      <c r="H1319" s="2" t="str">
        <f>"2013"</f>
        <v>2013</v>
      </c>
      <c r="I1319" t="s">
        <v>14</v>
      </c>
      <c r="J1319" t="s">
        <v>15</v>
      </c>
    </row>
    <row r="1320" spans="1:10">
      <c r="A1320" s="2" t="str">
        <f>"1317"</f>
        <v>1317</v>
      </c>
      <c r="B1320" s="2" t="s">
        <v>9</v>
      </c>
      <c r="C1320" s="2" t="str">
        <f>"1 (1)"</f>
        <v>1 (1)</v>
      </c>
      <c r="D1320" s="2" t="s">
        <v>4354</v>
      </c>
      <c r="E1320" s="5" t="s">
        <v>4355</v>
      </c>
      <c r="F1320" s="3" t="s">
        <v>4356</v>
      </c>
      <c r="G1320" s="3" t="s">
        <v>4357</v>
      </c>
      <c r="H1320" s="2" t="str">
        <f>"2013"</f>
        <v>2013</v>
      </c>
      <c r="I1320" t="s">
        <v>14</v>
      </c>
      <c r="J1320" t="s">
        <v>15</v>
      </c>
    </row>
    <row r="1321" spans="1:10">
      <c r="A1321" s="2" t="str">
        <f>"1318"</f>
        <v>1318</v>
      </c>
      <c r="B1321" s="2" t="s">
        <v>9</v>
      </c>
      <c r="C1321" s="2" t="str">
        <f>"1 (1)"</f>
        <v>1 (1)</v>
      </c>
      <c r="D1321" s="2" t="s">
        <v>4358</v>
      </c>
      <c r="E1321" s="5" t="s">
        <v>4359</v>
      </c>
      <c r="F1321" s="3" t="s">
        <v>4360</v>
      </c>
      <c r="G1321" s="3" t="s">
        <v>4361</v>
      </c>
      <c r="H1321" s="2" t="str">
        <f>"2013"</f>
        <v>2013</v>
      </c>
      <c r="I1321" t="s">
        <v>14</v>
      </c>
      <c r="J1321" t="s">
        <v>15</v>
      </c>
    </row>
    <row r="1322" spans="1:10">
      <c r="A1322" s="2" t="str">
        <f>"1319"</f>
        <v>1319</v>
      </c>
      <c r="B1322" s="2" t="s">
        <v>9</v>
      </c>
      <c r="C1322" s="2" t="str">
        <f>"1 (1)"</f>
        <v>1 (1)</v>
      </c>
      <c r="D1322" s="2" t="s">
        <v>4362</v>
      </c>
      <c r="E1322" s="5" t="s">
        <v>4363</v>
      </c>
      <c r="F1322" s="3" t="s">
        <v>4364</v>
      </c>
      <c r="G1322" s="3" t="s">
        <v>4365</v>
      </c>
      <c r="H1322" s="2" t="str">
        <f>"2012"</f>
        <v>2012</v>
      </c>
      <c r="I1322" t="s">
        <v>14</v>
      </c>
      <c r="J1322" t="s">
        <v>15</v>
      </c>
    </row>
    <row r="1323" spans="1:10">
      <c r="A1323" s="2" t="str">
        <f>"1320"</f>
        <v>1320</v>
      </c>
      <c r="B1323" s="2" t="s">
        <v>9</v>
      </c>
      <c r="C1323" s="2" t="str">
        <f>"1 (1)"</f>
        <v>1 (1)</v>
      </c>
      <c r="D1323" s="2" t="s">
        <v>4366</v>
      </c>
      <c r="E1323" s="5" t="s">
        <v>4367</v>
      </c>
      <c r="F1323" s="3" t="s">
        <v>4368</v>
      </c>
      <c r="G1323" s="3" t="s">
        <v>4369</v>
      </c>
      <c r="H1323" s="2" t="str">
        <f>"2013"</f>
        <v>2013</v>
      </c>
      <c r="I1323" t="s">
        <v>14</v>
      </c>
      <c r="J1323" t="s">
        <v>15</v>
      </c>
    </row>
    <row r="1324" spans="1:10">
      <c r="A1324" s="2" t="str">
        <f>"1321"</f>
        <v>1321</v>
      </c>
      <c r="B1324" s="2" t="s">
        <v>9</v>
      </c>
      <c r="C1324" s="2" t="str">
        <f>"1 (1)"</f>
        <v>1 (1)</v>
      </c>
      <c r="D1324" s="2" t="s">
        <v>4370</v>
      </c>
      <c r="E1324" s="5" t="s">
        <v>4371</v>
      </c>
      <c r="F1324" s="3" t="s">
        <v>4372</v>
      </c>
      <c r="G1324" s="3" t="s">
        <v>4373</v>
      </c>
      <c r="H1324" s="2" t="str">
        <f>"2013"</f>
        <v>2013</v>
      </c>
      <c r="I1324" t="s">
        <v>14</v>
      </c>
      <c r="J1324" t="s">
        <v>15</v>
      </c>
    </row>
    <row r="1325" spans="1:10">
      <c r="A1325" s="2" t="str">
        <f>"1322"</f>
        <v>1322</v>
      </c>
      <c r="B1325" s="2" t="s">
        <v>9</v>
      </c>
      <c r="C1325" s="2" t="str">
        <f>"1 (1)"</f>
        <v>1 (1)</v>
      </c>
      <c r="D1325" s="2" t="s">
        <v>4374</v>
      </c>
      <c r="E1325" s="5" t="s">
        <v>4375</v>
      </c>
      <c r="F1325" s="3" t="s">
        <v>4376</v>
      </c>
      <c r="G1325" s="3" t="s">
        <v>3945</v>
      </c>
      <c r="H1325" s="2" t="str">
        <f>"2013"</f>
        <v>2013</v>
      </c>
      <c r="I1325" t="s">
        <v>14</v>
      </c>
      <c r="J1325" t="s">
        <v>15</v>
      </c>
    </row>
    <row r="1326" spans="1:10">
      <c r="A1326" s="2" t="str">
        <f>"1323"</f>
        <v>1323</v>
      </c>
      <c r="B1326" s="2" t="s">
        <v>9</v>
      </c>
      <c r="C1326" s="2" t="str">
        <f>"1 (1)"</f>
        <v>1 (1)</v>
      </c>
      <c r="D1326" s="2" t="s">
        <v>4377</v>
      </c>
      <c r="E1326" s="5" t="s">
        <v>4378</v>
      </c>
      <c r="F1326" s="3" t="s">
        <v>4379</v>
      </c>
      <c r="G1326" s="3" t="s">
        <v>4380</v>
      </c>
      <c r="H1326" s="2" t="str">
        <f>"2013"</f>
        <v>2013</v>
      </c>
      <c r="I1326" t="s">
        <v>14</v>
      </c>
      <c r="J1326" t="s">
        <v>15</v>
      </c>
    </row>
    <row r="1327" spans="1:10">
      <c r="A1327" s="2" t="str">
        <f>"1324"</f>
        <v>1324</v>
      </c>
      <c r="B1327" s="2" t="s">
        <v>9</v>
      </c>
      <c r="C1327" s="2" t="str">
        <f>"1 (1)"</f>
        <v>1 (1)</v>
      </c>
      <c r="D1327" s="2" t="s">
        <v>4381</v>
      </c>
      <c r="E1327" s="5" t="s">
        <v>4382</v>
      </c>
      <c r="F1327" s="3" t="s">
        <v>4383</v>
      </c>
      <c r="G1327" s="3" t="s">
        <v>4384</v>
      </c>
      <c r="H1327" s="2" t="str">
        <f>"2012"</f>
        <v>2012</v>
      </c>
      <c r="I1327" t="s">
        <v>14</v>
      </c>
      <c r="J1327" t="s">
        <v>15</v>
      </c>
    </row>
    <row r="1328" spans="1:10">
      <c r="A1328" s="2" t="str">
        <f>"1325"</f>
        <v>1325</v>
      </c>
      <c r="B1328" s="2" t="s">
        <v>9</v>
      </c>
      <c r="C1328" s="2" t="str">
        <f>"1 (1)"</f>
        <v>1 (1)</v>
      </c>
      <c r="D1328" s="2" t="s">
        <v>4385</v>
      </c>
      <c r="E1328" s="5" t="s">
        <v>4386</v>
      </c>
      <c r="F1328" s="3" t="s">
        <v>4387</v>
      </c>
      <c r="G1328" s="3" t="s">
        <v>2666</v>
      </c>
      <c r="H1328" s="2" t="str">
        <f>"2013"</f>
        <v>2013</v>
      </c>
      <c r="I1328" t="s">
        <v>14</v>
      </c>
      <c r="J1328" t="s">
        <v>15</v>
      </c>
    </row>
    <row r="1329" spans="1:10">
      <c r="A1329" s="2" t="str">
        <f>"1326"</f>
        <v>1326</v>
      </c>
      <c r="B1329" s="2" t="s">
        <v>9</v>
      </c>
      <c r="C1329" s="2" t="str">
        <f>"1 (1)"</f>
        <v>1 (1)</v>
      </c>
      <c r="D1329" s="2" t="s">
        <v>4388</v>
      </c>
      <c r="E1329" s="5" t="s">
        <v>4389</v>
      </c>
      <c r="F1329" s="3" t="s">
        <v>4390</v>
      </c>
      <c r="G1329" s="3" t="s">
        <v>3187</v>
      </c>
      <c r="H1329" s="2" t="str">
        <f>"2012"</f>
        <v>2012</v>
      </c>
      <c r="I1329" t="s">
        <v>14</v>
      </c>
      <c r="J1329" t="s">
        <v>15</v>
      </c>
    </row>
    <row r="1330" spans="1:10">
      <c r="A1330" s="2" t="str">
        <f>"1327"</f>
        <v>1327</v>
      </c>
      <c r="B1330" s="2" t="s">
        <v>9</v>
      </c>
      <c r="C1330" s="2" t="str">
        <f>"1 (1)"</f>
        <v>1 (1)</v>
      </c>
      <c r="D1330" s="2" t="s">
        <v>4391</v>
      </c>
      <c r="E1330" s="5" t="s">
        <v>4392</v>
      </c>
      <c r="F1330" s="3" t="s">
        <v>4393</v>
      </c>
      <c r="G1330" s="3" t="s">
        <v>4394</v>
      </c>
      <c r="H1330" s="2" t="str">
        <f>"2013"</f>
        <v>2013</v>
      </c>
      <c r="I1330" t="s">
        <v>14</v>
      </c>
      <c r="J1330" t="s">
        <v>15</v>
      </c>
    </row>
    <row r="1331" spans="1:10">
      <c r="A1331" s="2" t="str">
        <f>"1328"</f>
        <v>1328</v>
      </c>
      <c r="B1331" s="2" t="s">
        <v>9</v>
      </c>
      <c r="C1331" s="2" t="str">
        <f>"1 (1)"</f>
        <v>1 (1)</v>
      </c>
      <c r="D1331" s="2" t="s">
        <v>4395</v>
      </c>
      <c r="E1331" s="5" t="s">
        <v>4396</v>
      </c>
      <c r="F1331" s="3" t="s">
        <v>4397</v>
      </c>
      <c r="G1331" s="3" t="s">
        <v>2405</v>
      </c>
      <c r="H1331" s="2" t="str">
        <f>"2013"</f>
        <v>2013</v>
      </c>
      <c r="I1331" t="s">
        <v>14</v>
      </c>
      <c r="J1331" t="s">
        <v>15</v>
      </c>
    </row>
    <row r="1332" spans="1:10">
      <c r="A1332" s="2" t="str">
        <f>"1329"</f>
        <v>1329</v>
      </c>
      <c r="B1332" s="2" t="s">
        <v>9</v>
      </c>
      <c r="C1332" s="2" t="str">
        <f>"1 (1)"</f>
        <v>1 (1)</v>
      </c>
      <c r="D1332" s="2" t="s">
        <v>4398</v>
      </c>
      <c r="E1332" s="5" t="s">
        <v>4399</v>
      </c>
      <c r="F1332" s="3" t="s">
        <v>4400</v>
      </c>
      <c r="G1332" s="3" t="s">
        <v>2297</v>
      </c>
      <c r="H1332" s="2" t="str">
        <f>"2013"</f>
        <v>2013</v>
      </c>
      <c r="I1332" t="s">
        <v>14</v>
      </c>
      <c r="J1332" t="s">
        <v>15</v>
      </c>
    </row>
    <row r="1333" spans="1:10">
      <c r="A1333" s="2" t="str">
        <f>"1330"</f>
        <v>1330</v>
      </c>
      <c r="B1333" s="2" t="s">
        <v>9</v>
      </c>
      <c r="C1333" s="2" t="str">
        <f>"1 (1)"</f>
        <v>1 (1)</v>
      </c>
      <c r="D1333" s="2" t="s">
        <v>4401</v>
      </c>
      <c r="E1333" s="5" t="s">
        <v>4402</v>
      </c>
      <c r="F1333" s="3" t="s">
        <v>4403</v>
      </c>
      <c r="G1333" s="3" t="s">
        <v>4404</v>
      </c>
      <c r="H1333" s="2" t="str">
        <f>"2013"</f>
        <v>2013</v>
      </c>
      <c r="I1333" t="s">
        <v>14</v>
      </c>
      <c r="J1333" t="s">
        <v>15</v>
      </c>
    </row>
    <row r="1334" spans="1:10">
      <c r="A1334" s="2" t="str">
        <f>"1331"</f>
        <v>1331</v>
      </c>
      <c r="B1334" s="2" t="s">
        <v>9</v>
      </c>
      <c r="C1334" s="2" t="str">
        <f>"1 (1)"</f>
        <v>1 (1)</v>
      </c>
      <c r="D1334" s="2" t="s">
        <v>4405</v>
      </c>
      <c r="E1334" s="5" t="s">
        <v>4406</v>
      </c>
      <c r="F1334" s="3" t="s">
        <v>4407</v>
      </c>
      <c r="G1334" s="3" t="s">
        <v>2421</v>
      </c>
      <c r="H1334" s="2" t="str">
        <f>"2013"</f>
        <v>2013</v>
      </c>
      <c r="I1334" t="s">
        <v>14</v>
      </c>
      <c r="J1334" t="s">
        <v>15</v>
      </c>
    </row>
    <row r="1335" spans="1:10">
      <c r="A1335" s="2" t="str">
        <f>"1332"</f>
        <v>1332</v>
      </c>
      <c r="B1335" s="2" t="s">
        <v>9</v>
      </c>
      <c r="C1335" s="2" t="str">
        <f>"1 (1)"</f>
        <v>1 (1)</v>
      </c>
      <c r="D1335" s="2" t="s">
        <v>4408</v>
      </c>
      <c r="E1335" s="5" t="s">
        <v>4409</v>
      </c>
      <c r="F1335" s="3" t="s">
        <v>4410</v>
      </c>
      <c r="G1335" s="3" t="s">
        <v>4411</v>
      </c>
      <c r="H1335" s="2" t="str">
        <f>"2013"</f>
        <v>2013</v>
      </c>
      <c r="I1335" t="s">
        <v>14</v>
      </c>
      <c r="J1335" t="s">
        <v>15</v>
      </c>
    </row>
    <row r="1336" spans="1:10">
      <c r="A1336" s="2" t="str">
        <f>"1333"</f>
        <v>1333</v>
      </c>
      <c r="B1336" s="2" t="s">
        <v>9</v>
      </c>
      <c r="C1336" s="2" t="str">
        <f>"1 (1)"</f>
        <v>1 (1)</v>
      </c>
      <c r="D1336" s="2" t="s">
        <v>4412</v>
      </c>
      <c r="E1336" s="5" t="s">
        <v>4413</v>
      </c>
      <c r="F1336" s="3" t="s">
        <v>4414</v>
      </c>
      <c r="G1336" s="3" t="s">
        <v>4415</v>
      </c>
      <c r="H1336" s="2" t="str">
        <f>"2013"</f>
        <v>2013</v>
      </c>
      <c r="I1336" t="s">
        <v>14</v>
      </c>
      <c r="J1336" t="s">
        <v>15</v>
      </c>
    </row>
    <row r="1337" spans="1:10">
      <c r="A1337" s="2" t="str">
        <f>"1334"</f>
        <v>1334</v>
      </c>
      <c r="B1337" s="2" t="s">
        <v>9</v>
      </c>
      <c r="C1337" s="2" t="str">
        <f>"1 (1)"</f>
        <v>1 (1)</v>
      </c>
      <c r="D1337" s="2" t="s">
        <v>4416</v>
      </c>
      <c r="E1337" s="5" t="s">
        <v>4417</v>
      </c>
      <c r="F1337" s="3" t="s">
        <v>4418</v>
      </c>
      <c r="G1337" s="3" t="s">
        <v>4157</v>
      </c>
      <c r="H1337" s="2" t="str">
        <f>"2006"</f>
        <v>2006</v>
      </c>
      <c r="I1337" t="s">
        <v>14</v>
      </c>
      <c r="J1337" t="s">
        <v>15</v>
      </c>
    </row>
    <row r="1338" spans="1:10">
      <c r="A1338" s="2" t="str">
        <f>"1335"</f>
        <v>1335</v>
      </c>
      <c r="B1338" s="2" t="s">
        <v>9</v>
      </c>
      <c r="C1338" s="2" t="str">
        <f>"1 (1)"</f>
        <v>1 (1)</v>
      </c>
      <c r="D1338" s="2" t="s">
        <v>4419</v>
      </c>
      <c r="E1338" s="5" t="s">
        <v>4420</v>
      </c>
      <c r="F1338" s="3" t="s">
        <v>4421</v>
      </c>
      <c r="G1338" s="3" t="s">
        <v>4343</v>
      </c>
      <c r="H1338" s="2" t="str">
        <f>"2012"</f>
        <v>2012</v>
      </c>
      <c r="I1338" t="s">
        <v>14</v>
      </c>
      <c r="J1338" t="s">
        <v>15</v>
      </c>
    </row>
    <row r="1339" spans="1:10">
      <c r="A1339" s="2" t="str">
        <f>"1336"</f>
        <v>1336</v>
      </c>
      <c r="B1339" s="2" t="s">
        <v>9</v>
      </c>
      <c r="C1339" s="2" t="str">
        <f>"1 (1)"</f>
        <v>1 (1)</v>
      </c>
      <c r="D1339" s="2" t="s">
        <v>4422</v>
      </c>
      <c r="E1339" s="5" t="s">
        <v>4423</v>
      </c>
      <c r="F1339" s="3" t="s">
        <v>4424</v>
      </c>
      <c r="G1339" s="3" t="s">
        <v>4425</v>
      </c>
      <c r="H1339" s="2" t="str">
        <f>"2013"</f>
        <v>2013</v>
      </c>
      <c r="I1339" t="s">
        <v>14</v>
      </c>
      <c r="J1339" t="s">
        <v>15</v>
      </c>
    </row>
    <row r="1340" spans="1:10">
      <c r="A1340" s="2" t="str">
        <f>"1337"</f>
        <v>1337</v>
      </c>
      <c r="B1340" s="2" t="s">
        <v>9</v>
      </c>
      <c r="C1340" s="2" t="str">
        <f>"1 (1)"</f>
        <v>1 (1)</v>
      </c>
      <c r="D1340" s="2" t="s">
        <v>4426</v>
      </c>
      <c r="E1340" s="5" t="s">
        <v>4427</v>
      </c>
      <c r="F1340" s="3" t="s">
        <v>4428</v>
      </c>
      <c r="G1340" s="3" t="s">
        <v>4429</v>
      </c>
      <c r="H1340" s="2" t="str">
        <f>"2013"</f>
        <v>2013</v>
      </c>
      <c r="I1340" t="s">
        <v>14</v>
      </c>
      <c r="J1340" t="s">
        <v>15</v>
      </c>
    </row>
    <row r="1341" spans="1:10">
      <c r="A1341" s="2" t="str">
        <f>"1338"</f>
        <v>1338</v>
      </c>
      <c r="B1341" s="2" t="s">
        <v>9</v>
      </c>
      <c r="C1341" s="2" t="str">
        <f>"1 (1)"</f>
        <v>1 (1)</v>
      </c>
      <c r="D1341" s="2" t="s">
        <v>4430</v>
      </c>
      <c r="E1341" s="5" t="s">
        <v>4431</v>
      </c>
      <c r="F1341" s="3" t="s">
        <v>4432</v>
      </c>
      <c r="G1341" s="3" t="s">
        <v>4433</v>
      </c>
      <c r="H1341" s="2" t="str">
        <f>"2012"</f>
        <v>2012</v>
      </c>
      <c r="I1341" t="s">
        <v>14</v>
      </c>
      <c r="J1341" t="s">
        <v>15</v>
      </c>
    </row>
    <row r="1342" spans="1:10">
      <c r="A1342" s="2" t="str">
        <f>"1339"</f>
        <v>1339</v>
      </c>
      <c r="B1342" s="2" t="s">
        <v>9</v>
      </c>
      <c r="C1342" s="2" t="str">
        <f>"1 (1)"</f>
        <v>1 (1)</v>
      </c>
      <c r="D1342" s="2" t="s">
        <v>4434</v>
      </c>
      <c r="E1342" s="5" t="s">
        <v>4435</v>
      </c>
      <c r="F1342" s="3" t="s">
        <v>4436</v>
      </c>
      <c r="G1342" s="3" t="s">
        <v>4343</v>
      </c>
      <c r="H1342" s="2" t="str">
        <f>"2013"</f>
        <v>2013</v>
      </c>
      <c r="I1342" t="s">
        <v>14</v>
      </c>
      <c r="J1342" t="s">
        <v>15</v>
      </c>
    </row>
    <row r="1343" spans="1:10">
      <c r="A1343" s="2" t="str">
        <f>"1340"</f>
        <v>1340</v>
      </c>
      <c r="B1343" s="2" t="s">
        <v>9</v>
      </c>
      <c r="C1343" s="2" t="str">
        <f>"1 (1)"</f>
        <v>1 (1)</v>
      </c>
      <c r="D1343" s="2" t="s">
        <v>4437</v>
      </c>
      <c r="E1343" s="5" t="s">
        <v>4438</v>
      </c>
      <c r="F1343" s="3" t="s">
        <v>4439</v>
      </c>
      <c r="G1343" s="3" t="s">
        <v>4440</v>
      </c>
      <c r="H1343" s="2" t="str">
        <f>"2013"</f>
        <v>2013</v>
      </c>
      <c r="I1343" t="s">
        <v>14</v>
      </c>
      <c r="J1343" t="s">
        <v>15</v>
      </c>
    </row>
    <row r="1344" spans="1:10">
      <c r="A1344" s="2" t="str">
        <f>"1341"</f>
        <v>1341</v>
      </c>
      <c r="B1344" s="2" t="s">
        <v>9</v>
      </c>
      <c r="C1344" s="2" t="str">
        <f>"1 (1)"</f>
        <v>1 (1)</v>
      </c>
      <c r="D1344" s="2" t="s">
        <v>4441</v>
      </c>
      <c r="E1344" s="5" t="s">
        <v>4442</v>
      </c>
      <c r="F1344" s="3" t="s">
        <v>4443</v>
      </c>
      <c r="G1344" s="3" t="str">
        <f>"21세기북스"</f>
        <v>21세기북스</v>
      </c>
      <c r="H1344" s="2" t="str">
        <f>"2013"</f>
        <v>2013</v>
      </c>
      <c r="I1344" t="s">
        <v>14</v>
      </c>
      <c r="J1344" t="s">
        <v>15</v>
      </c>
    </row>
    <row r="1345" spans="1:10">
      <c r="A1345" s="2" t="str">
        <f>"1342"</f>
        <v>1342</v>
      </c>
      <c r="B1345" s="2" t="s">
        <v>9</v>
      </c>
      <c r="C1345" s="2" t="str">
        <f>"1 (1)"</f>
        <v>1 (1)</v>
      </c>
      <c r="D1345" s="2" t="s">
        <v>4444</v>
      </c>
      <c r="E1345" s="5" t="s">
        <v>4445</v>
      </c>
      <c r="F1345" s="3" t="s">
        <v>4446</v>
      </c>
      <c r="G1345" s="3" t="s">
        <v>4447</v>
      </c>
      <c r="H1345" s="2" t="str">
        <f>"2013"</f>
        <v>2013</v>
      </c>
      <c r="I1345" t="s">
        <v>14</v>
      </c>
      <c r="J1345" t="s">
        <v>15</v>
      </c>
    </row>
    <row r="1346" spans="1:10">
      <c r="A1346" s="2" t="str">
        <f>"1343"</f>
        <v>1343</v>
      </c>
      <c r="B1346" s="2" t="s">
        <v>9</v>
      </c>
      <c r="C1346" s="2" t="str">
        <f>"1 (1)"</f>
        <v>1 (1)</v>
      </c>
      <c r="D1346" s="2" t="s">
        <v>4448</v>
      </c>
      <c r="E1346" s="5" t="s">
        <v>4449</v>
      </c>
      <c r="F1346" s="3" t="s">
        <v>4450</v>
      </c>
      <c r="G1346" s="3" t="s">
        <v>4451</v>
      </c>
      <c r="H1346" s="2" t="str">
        <f>"2013"</f>
        <v>2013</v>
      </c>
      <c r="I1346" t="s">
        <v>14</v>
      </c>
      <c r="J1346" t="s">
        <v>15</v>
      </c>
    </row>
    <row r="1347" spans="1:10">
      <c r="A1347" s="2" t="str">
        <f>"1344"</f>
        <v>1344</v>
      </c>
      <c r="B1347" s="2" t="s">
        <v>9</v>
      </c>
      <c r="C1347" s="2" t="str">
        <f>"1 (1)"</f>
        <v>1 (1)</v>
      </c>
      <c r="D1347" s="2" t="s">
        <v>4452</v>
      </c>
      <c r="E1347" s="5" t="s">
        <v>4453</v>
      </c>
      <c r="F1347" s="3" t="s">
        <v>4454</v>
      </c>
      <c r="G1347" s="3" t="s">
        <v>4455</v>
      </c>
      <c r="H1347" s="2" t="str">
        <f>"2012"</f>
        <v>2012</v>
      </c>
      <c r="I1347" t="s">
        <v>14</v>
      </c>
      <c r="J1347" t="s">
        <v>15</v>
      </c>
    </row>
    <row r="1348" spans="1:10">
      <c r="A1348" s="2" t="str">
        <f>"1345"</f>
        <v>1345</v>
      </c>
      <c r="B1348" s="2" t="s">
        <v>9</v>
      </c>
      <c r="C1348" s="2" t="str">
        <f>"1 (1)"</f>
        <v>1 (1)</v>
      </c>
      <c r="D1348" s="2" t="s">
        <v>4456</v>
      </c>
      <c r="E1348" s="5" t="s">
        <v>4457</v>
      </c>
      <c r="F1348" s="3" t="s">
        <v>4458</v>
      </c>
      <c r="G1348" s="3" t="s">
        <v>4459</v>
      </c>
      <c r="H1348" s="2" t="str">
        <f>"2012"</f>
        <v>2012</v>
      </c>
      <c r="I1348" t="s">
        <v>14</v>
      </c>
      <c r="J1348" t="s">
        <v>15</v>
      </c>
    </row>
    <row r="1349" spans="1:10">
      <c r="A1349" s="2" t="str">
        <f>"1346"</f>
        <v>1346</v>
      </c>
      <c r="B1349" s="2" t="s">
        <v>9</v>
      </c>
      <c r="C1349" s="2" t="str">
        <f>"1 (1)"</f>
        <v>1 (1)</v>
      </c>
      <c r="D1349" s="2" t="s">
        <v>4460</v>
      </c>
      <c r="E1349" s="5" t="s">
        <v>4461</v>
      </c>
      <c r="F1349" s="3" t="s">
        <v>4462</v>
      </c>
      <c r="G1349" s="3" t="s">
        <v>3607</v>
      </c>
      <c r="H1349" s="2" t="str">
        <f>"2013"</f>
        <v>2013</v>
      </c>
      <c r="I1349" t="s">
        <v>14</v>
      </c>
      <c r="J1349" t="s">
        <v>15</v>
      </c>
    </row>
    <row r="1350" spans="1:10">
      <c r="A1350" s="2" t="str">
        <f>"1347"</f>
        <v>1347</v>
      </c>
      <c r="B1350" s="2" t="s">
        <v>9</v>
      </c>
      <c r="C1350" s="2" t="str">
        <f>"1 (1)"</f>
        <v>1 (1)</v>
      </c>
      <c r="D1350" s="2" t="s">
        <v>4463</v>
      </c>
      <c r="E1350" s="5" t="s">
        <v>4464</v>
      </c>
      <c r="F1350" s="3" t="s">
        <v>4465</v>
      </c>
      <c r="G1350" s="3" t="s">
        <v>4466</v>
      </c>
      <c r="H1350" s="2" t="str">
        <f>"2013"</f>
        <v>2013</v>
      </c>
      <c r="I1350" t="s">
        <v>14</v>
      </c>
      <c r="J1350" t="s">
        <v>15</v>
      </c>
    </row>
    <row r="1351" spans="1:10">
      <c r="A1351" s="2" t="str">
        <f>"1348"</f>
        <v>1348</v>
      </c>
      <c r="B1351" s="2" t="s">
        <v>9</v>
      </c>
      <c r="C1351" s="2" t="str">
        <f>"1 (1)"</f>
        <v>1 (1)</v>
      </c>
      <c r="D1351" s="2" t="s">
        <v>4467</v>
      </c>
      <c r="E1351" s="5" t="s">
        <v>4468</v>
      </c>
      <c r="F1351" s="3" t="s">
        <v>4469</v>
      </c>
      <c r="G1351" s="3" t="s">
        <v>4470</v>
      </c>
      <c r="H1351" s="2" t="str">
        <f>"2013"</f>
        <v>2013</v>
      </c>
      <c r="I1351" t="s">
        <v>14</v>
      </c>
      <c r="J1351" t="s">
        <v>15</v>
      </c>
    </row>
    <row r="1352" spans="1:10">
      <c r="A1352" s="2" t="str">
        <f>"1349"</f>
        <v>1349</v>
      </c>
      <c r="B1352" s="2" t="s">
        <v>9</v>
      </c>
      <c r="C1352" s="2" t="str">
        <f>"1 (1)"</f>
        <v>1 (1)</v>
      </c>
      <c r="D1352" s="2" t="s">
        <v>4471</v>
      </c>
      <c r="E1352" s="5" t="s">
        <v>4472</v>
      </c>
      <c r="F1352" s="3" t="s">
        <v>4473</v>
      </c>
      <c r="G1352" s="3" t="s">
        <v>443</v>
      </c>
      <c r="H1352" s="2" t="str">
        <f>"2013"</f>
        <v>2013</v>
      </c>
      <c r="I1352" t="s">
        <v>14</v>
      </c>
      <c r="J1352" t="s">
        <v>15</v>
      </c>
    </row>
    <row r="1353" spans="1:10">
      <c r="A1353" s="2" t="str">
        <f>"1350"</f>
        <v>1350</v>
      </c>
      <c r="B1353" s="2" t="s">
        <v>9</v>
      </c>
      <c r="C1353" s="2" t="str">
        <f>"1 (1)"</f>
        <v>1 (1)</v>
      </c>
      <c r="D1353" s="2" t="s">
        <v>4474</v>
      </c>
      <c r="E1353" s="5" t="s">
        <v>4475</v>
      </c>
      <c r="F1353" s="3" t="s">
        <v>4476</v>
      </c>
      <c r="G1353" s="3" t="s">
        <v>2033</v>
      </c>
      <c r="H1353" s="2" t="str">
        <f>"2013"</f>
        <v>2013</v>
      </c>
      <c r="I1353" t="s">
        <v>14</v>
      </c>
      <c r="J1353" t="s">
        <v>15</v>
      </c>
    </row>
    <row r="1354" spans="1:10">
      <c r="A1354" s="2" t="str">
        <f>"1351"</f>
        <v>1351</v>
      </c>
      <c r="B1354" s="2" t="s">
        <v>9</v>
      </c>
      <c r="C1354" s="2" t="str">
        <f>"1 (1)"</f>
        <v>1 (1)</v>
      </c>
      <c r="D1354" s="2" t="s">
        <v>4477</v>
      </c>
      <c r="E1354" s="5" t="s">
        <v>4478</v>
      </c>
      <c r="F1354" s="3" t="s">
        <v>4479</v>
      </c>
      <c r="G1354" s="3" t="s">
        <v>4480</v>
      </c>
      <c r="H1354" s="2" t="str">
        <f>"2013"</f>
        <v>2013</v>
      </c>
      <c r="I1354" t="s">
        <v>14</v>
      </c>
      <c r="J1354" t="s">
        <v>15</v>
      </c>
    </row>
    <row r="1355" spans="1:10">
      <c r="A1355" s="2" t="str">
        <f>"1352"</f>
        <v>1352</v>
      </c>
      <c r="B1355" s="2" t="s">
        <v>9</v>
      </c>
      <c r="C1355" s="2" t="str">
        <f>"1 (1)"</f>
        <v>1 (1)</v>
      </c>
      <c r="D1355" s="2" t="s">
        <v>4481</v>
      </c>
      <c r="E1355" s="5" t="s">
        <v>4482</v>
      </c>
      <c r="F1355" s="3" t="s">
        <v>4483</v>
      </c>
      <c r="G1355" s="3" t="s">
        <v>4484</v>
      </c>
      <c r="H1355" s="2" t="str">
        <f>"2013"</f>
        <v>2013</v>
      </c>
      <c r="I1355" t="s">
        <v>14</v>
      </c>
      <c r="J1355" t="s">
        <v>15</v>
      </c>
    </row>
    <row r="1356" spans="1:10">
      <c r="A1356" s="2" t="str">
        <f>"1353"</f>
        <v>1353</v>
      </c>
      <c r="B1356" s="2" t="s">
        <v>9</v>
      </c>
      <c r="C1356" s="2" t="str">
        <f>"1 (1)"</f>
        <v>1 (1)</v>
      </c>
      <c r="D1356" s="2" t="s">
        <v>4485</v>
      </c>
      <c r="E1356" s="5" t="s">
        <v>4486</v>
      </c>
      <c r="F1356" s="3" t="s">
        <v>4487</v>
      </c>
      <c r="G1356" s="3" t="s">
        <v>4488</v>
      </c>
      <c r="H1356" s="2" t="str">
        <f>"2013"</f>
        <v>2013</v>
      </c>
      <c r="I1356" t="s">
        <v>14</v>
      </c>
      <c r="J1356" t="s">
        <v>15</v>
      </c>
    </row>
    <row r="1357" spans="1:10">
      <c r="A1357" s="2" t="str">
        <f>"1354"</f>
        <v>1354</v>
      </c>
      <c r="B1357" s="2" t="s">
        <v>9</v>
      </c>
      <c r="C1357" s="2" t="str">
        <f>"1 (1)"</f>
        <v>1 (1)</v>
      </c>
      <c r="D1357" s="2" t="s">
        <v>4489</v>
      </c>
      <c r="E1357" s="5" t="s">
        <v>4490</v>
      </c>
      <c r="F1357" s="3" t="s">
        <v>4491</v>
      </c>
      <c r="G1357" s="3" t="s">
        <v>4492</v>
      </c>
      <c r="H1357" s="2" t="str">
        <f>"2013"</f>
        <v>2013</v>
      </c>
      <c r="I1357" t="s">
        <v>14</v>
      </c>
      <c r="J1357" t="s">
        <v>15</v>
      </c>
    </row>
    <row r="1358" spans="1:10">
      <c r="A1358" s="2" t="str">
        <f>"1355"</f>
        <v>1355</v>
      </c>
      <c r="B1358" s="2" t="s">
        <v>9</v>
      </c>
      <c r="C1358" s="2" t="str">
        <f>"1 (1)"</f>
        <v>1 (1)</v>
      </c>
      <c r="D1358" s="2" t="s">
        <v>4493</v>
      </c>
      <c r="E1358" s="5" t="s">
        <v>4494</v>
      </c>
      <c r="F1358" s="3" t="s">
        <v>4495</v>
      </c>
      <c r="G1358" s="3" t="s">
        <v>4496</v>
      </c>
      <c r="H1358" s="2" t="str">
        <f>"2013"</f>
        <v>2013</v>
      </c>
      <c r="I1358" t="s">
        <v>14</v>
      </c>
      <c r="J1358" t="s">
        <v>15</v>
      </c>
    </row>
    <row r="1359" spans="1:10">
      <c r="A1359" s="2" t="str">
        <f>"1356"</f>
        <v>1356</v>
      </c>
      <c r="B1359" s="2" t="s">
        <v>9</v>
      </c>
      <c r="C1359" s="2" t="str">
        <f>"1 (1)"</f>
        <v>1 (1)</v>
      </c>
      <c r="D1359" s="2" t="s">
        <v>4497</v>
      </c>
      <c r="E1359" s="5" t="s">
        <v>4498</v>
      </c>
      <c r="F1359" s="3" t="s">
        <v>4499</v>
      </c>
      <c r="G1359" s="3" t="s">
        <v>4500</v>
      </c>
      <c r="H1359" s="2" t="str">
        <f>"2013"</f>
        <v>2013</v>
      </c>
      <c r="I1359" t="s">
        <v>14</v>
      </c>
      <c r="J1359" t="s">
        <v>15</v>
      </c>
    </row>
    <row r="1360" spans="1:10">
      <c r="A1360" s="2" t="str">
        <f>"1357"</f>
        <v>1357</v>
      </c>
      <c r="B1360" s="2" t="s">
        <v>9</v>
      </c>
      <c r="C1360" s="2" t="str">
        <f>"1 (1)"</f>
        <v>1 (1)</v>
      </c>
      <c r="D1360" s="2" t="s">
        <v>4501</v>
      </c>
      <c r="E1360" s="5" t="s">
        <v>4502</v>
      </c>
      <c r="F1360" s="3" t="s">
        <v>4503</v>
      </c>
      <c r="G1360" s="3" t="s">
        <v>4504</v>
      </c>
      <c r="H1360" s="2" t="str">
        <f>"2013"</f>
        <v>2013</v>
      </c>
      <c r="I1360" t="s">
        <v>14</v>
      </c>
      <c r="J1360" t="s">
        <v>15</v>
      </c>
    </row>
    <row r="1361" spans="1:10">
      <c r="A1361" s="2" t="str">
        <f>"1358"</f>
        <v>1358</v>
      </c>
      <c r="B1361" s="2" t="s">
        <v>9</v>
      </c>
      <c r="C1361" s="2" t="str">
        <f>"1 (1)"</f>
        <v>1 (1)</v>
      </c>
      <c r="D1361" s="2" t="s">
        <v>4505</v>
      </c>
      <c r="E1361" s="5" t="s">
        <v>4506</v>
      </c>
      <c r="F1361" s="3" t="s">
        <v>4507</v>
      </c>
      <c r="G1361" s="3" t="s">
        <v>4508</v>
      </c>
      <c r="H1361" s="2" t="str">
        <f>"2013"</f>
        <v>2013</v>
      </c>
      <c r="I1361" t="s">
        <v>14</v>
      </c>
      <c r="J1361" t="s">
        <v>15</v>
      </c>
    </row>
    <row r="1362" spans="1:10">
      <c r="A1362" s="2" t="str">
        <f>"1359"</f>
        <v>1359</v>
      </c>
      <c r="B1362" s="2" t="s">
        <v>9</v>
      </c>
      <c r="C1362" s="2" t="str">
        <f>"1 (1)"</f>
        <v>1 (1)</v>
      </c>
      <c r="D1362" s="2" t="s">
        <v>4509</v>
      </c>
      <c r="E1362" s="5" t="s">
        <v>4510</v>
      </c>
      <c r="F1362" s="3" t="s">
        <v>4511</v>
      </c>
      <c r="G1362" s="3" t="s">
        <v>4512</v>
      </c>
      <c r="H1362" s="2" t="str">
        <f>"2013"</f>
        <v>2013</v>
      </c>
      <c r="I1362" t="s">
        <v>14</v>
      </c>
      <c r="J1362" t="s">
        <v>15</v>
      </c>
    </row>
    <row r="1363" spans="1:10">
      <c r="A1363" s="2" t="str">
        <f>"1360"</f>
        <v>1360</v>
      </c>
      <c r="B1363" s="2" t="s">
        <v>9</v>
      </c>
      <c r="C1363" s="2" t="str">
        <f>"1 (1)"</f>
        <v>1 (1)</v>
      </c>
      <c r="D1363" s="2" t="s">
        <v>4513</v>
      </c>
      <c r="E1363" s="5" t="s">
        <v>4514</v>
      </c>
      <c r="F1363" s="3" t="s">
        <v>4515</v>
      </c>
      <c r="G1363" s="3" t="s">
        <v>4516</v>
      </c>
      <c r="H1363" s="2" t="str">
        <f>"2013"</f>
        <v>2013</v>
      </c>
      <c r="I1363" t="s">
        <v>14</v>
      </c>
      <c r="J1363" t="s">
        <v>15</v>
      </c>
    </row>
    <row r="1364" spans="1:10">
      <c r="A1364" s="2" t="str">
        <f>"1361"</f>
        <v>1361</v>
      </c>
      <c r="B1364" s="2" t="s">
        <v>9</v>
      </c>
      <c r="C1364" s="2" t="str">
        <f>"1 (1)"</f>
        <v>1 (1)</v>
      </c>
      <c r="D1364" s="2" t="s">
        <v>4517</v>
      </c>
      <c r="E1364" s="5" t="s">
        <v>4518</v>
      </c>
      <c r="F1364" s="3" t="s">
        <v>4519</v>
      </c>
      <c r="G1364" s="3" t="s">
        <v>4520</v>
      </c>
      <c r="H1364" s="2" t="str">
        <f>"2012"</f>
        <v>2012</v>
      </c>
      <c r="I1364" t="s">
        <v>14</v>
      </c>
      <c r="J1364" t="s">
        <v>15</v>
      </c>
    </row>
    <row r="1365" spans="1:10">
      <c r="A1365" s="2" t="str">
        <f>"1362"</f>
        <v>1362</v>
      </c>
      <c r="B1365" s="2" t="s">
        <v>9</v>
      </c>
      <c r="C1365" s="2" t="str">
        <f>"1 (1)"</f>
        <v>1 (1)</v>
      </c>
      <c r="D1365" s="2" t="s">
        <v>4521</v>
      </c>
      <c r="E1365" s="5" t="s">
        <v>4522</v>
      </c>
      <c r="F1365" s="3" t="s">
        <v>4020</v>
      </c>
      <c r="G1365" s="3" t="s">
        <v>4021</v>
      </c>
      <c r="H1365" s="2" t="str">
        <f>"2013"</f>
        <v>2013</v>
      </c>
      <c r="I1365" t="s">
        <v>14</v>
      </c>
      <c r="J1365" t="s">
        <v>15</v>
      </c>
    </row>
    <row r="1366" spans="1:10">
      <c r="A1366" s="2" t="str">
        <f>"1363"</f>
        <v>1363</v>
      </c>
      <c r="B1366" s="2" t="s">
        <v>9</v>
      </c>
      <c r="C1366" s="2" t="str">
        <f>"1 (1)"</f>
        <v>1 (1)</v>
      </c>
      <c r="D1366" s="2" t="s">
        <v>4523</v>
      </c>
      <c r="E1366" s="5" t="s">
        <v>4524</v>
      </c>
      <c r="F1366" s="3" t="s">
        <v>4525</v>
      </c>
      <c r="G1366" s="3" t="s">
        <v>4526</v>
      </c>
      <c r="H1366" s="2" t="str">
        <f>"2012"</f>
        <v>2012</v>
      </c>
      <c r="I1366" t="s">
        <v>14</v>
      </c>
      <c r="J1366" t="s">
        <v>15</v>
      </c>
    </row>
    <row r="1367" spans="1:10">
      <c r="A1367" s="2" t="str">
        <f>"1364"</f>
        <v>1364</v>
      </c>
      <c r="B1367" s="2" t="s">
        <v>9</v>
      </c>
      <c r="C1367" s="2" t="str">
        <f>"1 (1)"</f>
        <v>1 (1)</v>
      </c>
      <c r="D1367" s="2" t="s">
        <v>4527</v>
      </c>
      <c r="E1367" s="5" t="s">
        <v>4528</v>
      </c>
      <c r="F1367" s="3" t="s">
        <v>4529</v>
      </c>
      <c r="G1367" s="3" t="s">
        <v>2716</v>
      </c>
      <c r="H1367" s="2" t="str">
        <f>"2013"</f>
        <v>2013</v>
      </c>
      <c r="I1367" t="s">
        <v>14</v>
      </c>
      <c r="J1367" t="s">
        <v>15</v>
      </c>
    </row>
    <row r="1368" spans="1:10">
      <c r="A1368" s="2" t="str">
        <f>"1365"</f>
        <v>1365</v>
      </c>
      <c r="B1368" s="2" t="s">
        <v>9</v>
      </c>
      <c r="C1368" s="2" t="str">
        <f>"1 (1)"</f>
        <v>1 (1)</v>
      </c>
      <c r="D1368" s="2" t="s">
        <v>4530</v>
      </c>
      <c r="E1368" s="5" t="s">
        <v>4531</v>
      </c>
      <c r="F1368" s="3" t="s">
        <v>4532</v>
      </c>
      <c r="G1368" s="3" t="s">
        <v>4533</v>
      </c>
      <c r="H1368" s="2" t="str">
        <f>"2011"</f>
        <v>2011</v>
      </c>
      <c r="I1368" t="s">
        <v>14</v>
      </c>
      <c r="J1368" t="s">
        <v>15</v>
      </c>
    </row>
    <row r="1369" spans="1:10">
      <c r="A1369" s="2" t="str">
        <f>"1366"</f>
        <v>1366</v>
      </c>
      <c r="B1369" s="2" t="s">
        <v>9</v>
      </c>
      <c r="C1369" s="2" t="str">
        <f>"1 (1)"</f>
        <v>1 (1)</v>
      </c>
      <c r="D1369" s="2" t="s">
        <v>4534</v>
      </c>
      <c r="E1369" s="5" t="s">
        <v>4043</v>
      </c>
      <c r="F1369" s="3" t="s">
        <v>4044</v>
      </c>
      <c r="G1369" s="3" t="s">
        <v>4041</v>
      </c>
      <c r="H1369" s="2" t="str">
        <f>"2012"</f>
        <v>2012</v>
      </c>
      <c r="I1369" t="s">
        <v>14</v>
      </c>
      <c r="J1369" t="s">
        <v>15</v>
      </c>
    </row>
    <row r="1370" spans="1:10">
      <c r="A1370" s="2" t="str">
        <f>"1367"</f>
        <v>1367</v>
      </c>
      <c r="B1370" s="2" t="s">
        <v>9</v>
      </c>
      <c r="C1370" s="2" t="str">
        <f>"1 (1)"</f>
        <v>1 (1)</v>
      </c>
      <c r="D1370" s="2" t="s">
        <v>4535</v>
      </c>
      <c r="E1370" s="5" t="s">
        <v>4536</v>
      </c>
      <c r="F1370" s="3" t="s">
        <v>4537</v>
      </c>
      <c r="G1370" s="3" t="s">
        <v>4538</v>
      </c>
      <c r="H1370" s="2" t="str">
        <f>"2013"</f>
        <v>2013</v>
      </c>
      <c r="I1370" t="s">
        <v>14</v>
      </c>
      <c r="J1370" t="s">
        <v>15</v>
      </c>
    </row>
    <row r="1371" spans="1:10">
      <c r="A1371" s="2" t="str">
        <f>"1368"</f>
        <v>1368</v>
      </c>
      <c r="B1371" s="2" t="s">
        <v>9</v>
      </c>
      <c r="C1371" s="2" t="str">
        <f>"1 (1)"</f>
        <v>1 (1)</v>
      </c>
      <c r="D1371" s="2" t="s">
        <v>4539</v>
      </c>
      <c r="E1371" s="5" t="s">
        <v>4540</v>
      </c>
      <c r="F1371" s="3" t="s">
        <v>4541</v>
      </c>
      <c r="G1371" s="3" t="s">
        <v>2176</v>
      </c>
      <c r="H1371" s="2" t="str">
        <f>"2012"</f>
        <v>2012</v>
      </c>
      <c r="I1371" t="s">
        <v>14</v>
      </c>
      <c r="J1371" t="s">
        <v>15</v>
      </c>
    </row>
    <row r="1372" spans="1:10">
      <c r="A1372" s="2" t="str">
        <f>"1369"</f>
        <v>1369</v>
      </c>
      <c r="B1372" s="2" t="s">
        <v>9</v>
      </c>
      <c r="C1372" s="2" t="str">
        <f>"1 (1)"</f>
        <v>1 (1)</v>
      </c>
      <c r="D1372" s="2" t="s">
        <v>4542</v>
      </c>
      <c r="E1372" s="5" t="s">
        <v>4543</v>
      </c>
      <c r="F1372" s="3" t="s">
        <v>4544</v>
      </c>
      <c r="G1372" s="3" t="s">
        <v>4545</v>
      </c>
      <c r="H1372" s="2" t="str">
        <f>"2013"</f>
        <v>2013</v>
      </c>
      <c r="I1372" t="s">
        <v>14</v>
      </c>
      <c r="J1372" t="s">
        <v>15</v>
      </c>
    </row>
    <row r="1373" spans="1:10">
      <c r="A1373" s="2" t="str">
        <f>"1370"</f>
        <v>1370</v>
      </c>
      <c r="B1373" s="2" t="s">
        <v>9</v>
      </c>
      <c r="C1373" s="2" t="str">
        <f>"1 (1)"</f>
        <v>1 (1)</v>
      </c>
      <c r="D1373" s="2" t="s">
        <v>4546</v>
      </c>
      <c r="E1373" s="5" t="s">
        <v>4547</v>
      </c>
      <c r="F1373" s="3" t="s">
        <v>4548</v>
      </c>
      <c r="G1373" s="3" t="s">
        <v>4549</v>
      </c>
      <c r="H1373" s="2" t="str">
        <f>"2013"</f>
        <v>2013</v>
      </c>
      <c r="I1373" t="s">
        <v>14</v>
      </c>
      <c r="J1373" t="s">
        <v>15</v>
      </c>
    </row>
    <row r="1374" spans="1:10">
      <c r="A1374" s="2" t="str">
        <f>"1371"</f>
        <v>1371</v>
      </c>
      <c r="B1374" s="2" t="s">
        <v>9</v>
      </c>
      <c r="C1374" s="2" t="str">
        <f>"1 (1)"</f>
        <v>1 (1)</v>
      </c>
      <c r="D1374" s="2" t="s">
        <v>4550</v>
      </c>
      <c r="E1374" s="5" t="s">
        <v>4551</v>
      </c>
      <c r="F1374" s="3" t="s">
        <v>4552</v>
      </c>
      <c r="G1374" s="3" t="s">
        <v>4553</v>
      </c>
      <c r="H1374" s="2" t="str">
        <f>"2013"</f>
        <v>2013</v>
      </c>
      <c r="I1374" t="s">
        <v>14</v>
      </c>
      <c r="J1374" t="s">
        <v>15</v>
      </c>
    </row>
    <row r="1375" spans="1:10">
      <c r="A1375" s="2" t="str">
        <f>"1372"</f>
        <v>1372</v>
      </c>
      <c r="B1375" s="2" t="s">
        <v>9</v>
      </c>
      <c r="C1375" s="2" t="str">
        <f>"1 (1)"</f>
        <v>1 (1)</v>
      </c>
      <c r="D1375" s="2" t="s">
        <v>4554</v>
      </c>
      <c r="E1375" s="5" t="s">
        <v>4555</v>
      </c>
      <c r="F1375" s="3" t="s">
        <v>4556</v>
      </c>
      <c r="G1375" s="3" t="s">
        <v>4557</v>
      </c>
      <c r="H1375" s="2" t="str">
        <f>"2013"</f>
        <v>2013</v>
      </c>
      <c r="I1375" t="s">
        <v>14</v>
      </c>
      <c r="J1375" t="s">
        <v>15</v>
      </c>
    </row>
    <row r="1376" spans="1:10">
      <c r="A1376" s="2" t="str">
        <f>"1373"</f>
        <v>1373</v>
      </c>
      <c r="B1376" s="2" t="s">
        <v>9</v>
      </c>
      <c r="C1376" s="2" t="str">
        <f>"1 (1)"</f>
        <v>1 (1)</v>
      </c>
      <c r="D1376" s="2" t="s">
        <v>4558</v>
      </c>
      <c r="E1376" s="5" t="s">
        <v>4559</v>
      </c>
      <c r="F1376" s="3" t="s">
        <v>4560</v>
      </c>
      <c r="G1376" s="3" t="s">
        <v>4561</v>
      </c>
      <c r="H1376" s="2" t="str">
        <f>"2013"</f>
        <v>2013</v>
      </c>
      <c r="I1376" t="s">
        <v>14</v>
      </c>
      <c r="J1376" t="s">
        <v>15</v>
      </c>
    </row>
    <row r="1377" spans="1:10">
      <c r="A1377" s="2" t="str">
        <f>"1374"</f>
        <v>1374</v>
      </c>
      <c r="B1377" s="2" t="s">
        <v>9</v>
      </c>
      <c r="C1377" s="2" t="str">
        <f>"1 (1)"</f>
        <v>1 (1)</v>
      </c>
      <c r="D1377" s="2" t="s">
        <v>4562</v>
      </c>
      <c r="E1377" s="5" t="s">
        <v>4563</v>
      </c>
      <c r="F1377" s="3" t="s">
        <v>4564</v>
      </c>
      <c r="G1377" s="3" t="s">
        <v>4565</v>
      </c>
      <c r="H1377" s="2" t="str">
        <f>"2006"</f>
        <v>2006</v>
      </c>
      <c r="I1377" t="s">
        <v>14</v>
      </c>
      <c r="J1377" t="s">
        <v>15</v>
      </c>
    </row>
    <row r="1378" spans="1:10">
      <c r="A1378" s="2" t="str">
        <f>"1375"</f>
        <v>1375</v>
      </c>
      <c r="B1378" s="2" t="s">
        <v>9</v>
      </c>
      <c r="C1378" s="2" t="str">
        <f>"1 (1)"</f>
        <v>1 (1)</v>
      </c>
      <c r="D1378" s="2" t="s">
        <v>4566</v>
      </c>
      <c r="E1378" s="5" t="s">
        <v>4567</v>
      </c>
      <c r="F1378" s="3" t="s">
        <v>4568</v>
      </c>
      <c r="G1378" s="3" t="s">
        <v>4569</v>
      </c>
      <c r="H1378" s="2" t="str">
        <f>"2013"</f>
        <v>2013</v>
      </c>
      <c r="I1378" t="s">
        <v>14</v>
      </c>
      <c r="J1378" t="s">
        <v>15</v>
      </c>
    </row>
    <row r="1379" spans="1:10">
      <c r="A1379" s="2" t="str">
        <f>"1376"</f>
        <v>1376</v>
      </c>
      <c r="B1379" s="2" t="s">
        <v>9</v>
      </c>
      <c r="C1379" s="2" t="str">
        <f>"1 (1)"</f>
        <v>1 (1)</v>
      </c>
      <c r="D1379" s="2" t="s">
        <v>4570</v>
      </c>
      <c r="E1379" s="5" t="s">
        <v>4571</v>
      </c>
      <c r="F1379" s="3" t="s">
        <v>4572</v>
      </c>
      <c r="G1379" s="3" t="s">
        <v>3697</v>
      </c>
      <c r="H1379" s="2" t="str">
        <f>"2013"</f>
        <v>2013</v>
      </c>
      <c r="I1379" t="s">
        <v>14</v>
      </c>
      <c r="J1379" t="s">
        <v>15</v>
      </c>
    </row>
    <row r="1380" spans="1:10">
      <c r="A1380" s="2" t="str">
        <f>"1377"</f>
        <v>1377</v>
      </c>
      <c r="B1380" s="2" t="s">
        <v>9</v>
      </c>
      <c r="C1380" s="2" t="str">
        <f>"1 (1)"</f>
        <v>1 (1)</v>
      </c>
      <c r="D1380" s="2" t="s">
        <v>4573</v>
      </c>
      <c r="E1380" s="5" t="s">
        <v>4574</v>
      </c>
      <c r="F1380" s="3" t="s">
        <v>4575</v>
      </c>
      <c r="G1380" s="3" t="s">
        <v>4576</v>
      </c>
      <c r="H1380" s="2" t="str">
        <f>"2013"</f>
        <v>2013</v>
      </c>
      <c r="I1380" t="s">
        <v>14</v>
      </c>
      <c r="J1380" t="s">
        <v>15</v>
      </c>
    </row>
    <row r="1381" spans="1:10">
      <c r="A1381" s="2" t="str">
        <f>"1378"</f>
        <v>1378</v>
      </c>
      <c r="B1381" s="2" t="s">
        <v>9</v>
      </c>
      <c r="C1381" s="2" t="str">
        <f>"1 (1)"</f>
        <v>1 (1)</v>
      </c>
      <c r="D1381" s="2" t="s">
        <v>4577</v>
      </c>
      <c r="E1381" s="5" t="s">
        <v>4578</v>
      </c>
      <c r="F1381" s="3" t="s">
        <v>4579</v>
      </c>
      <c r="G1381" s="3" t="s">
        <v>3595</v>
      </c>
      <c r="H1381" s="2" t="str">
        <f>"2013"</f>
        <v>2013</v>
      </c>
      <c r="I1381" t="s">
        <v>14</v>
      </c>
      <c r="J1381" t="s">
        <v>15</v>
      </c>
    </row>
    <row r="1382" spans="1:10">
      <c r="A1382" s="2" t="str">
        <f>"1379"</f>
        <v>1379</v>
      </c>
      <c r="B1382" s="2" t="s">
        <v>9</v>
      </c>
      <c r="C1382" s="2" t="str">
        <f>"1 (1)"</f>
        <v>1 (1)</v>
      </c>
      <c r="D1382" s="2" t="s">
        <v>4580</v>
      </c>
      <c r="E1382" s="5" t="s">
        <v>4581</v>
      </c>
      <c r="F1382" s="3" t="s">
        <v>4582</v>
      </c>
      <c r="G1382" s="3" t="s">
        <v>4583</v>
      </c>
      <c r="H1382" s="2" t="str">
        <f>"2013"</f>
        <v>2013</v>
      </c>
      <c r="I1382" t="s">
        <v>14</v>
      </c>
      <c r="J1382" t="s">
        <v>15</v>
      </c>
    </row>
    <row r="1383" spans="1:10">
      <c r="A1383" s="2" t="str">
        <f>"1380"</f>
        <v>1380</v>
      </c>
      <c r="B1383" s="2" t="s">
        <v>9</v>
      </c>
      <c r="C1383" s="2" t="str">
        <f>"1 (1)"</f>
        <v>1 (1)</v>
      </c>
      <c r="D1383" s="2" t="s">
        <v>4584</v>
      </c>
      <c r="E1383" s="5" t="s">
        <v>4585</v>
      </c>
      <c r="F1383" s="3" t="s">
        <v>4586</v>
      </c>
      <c r="G1383" s="3" t="s">
        <v>4587</v>
      </c>
      <c r="H1383" s="2" t="str">
        <f>"2013"</f>
        <v>2013</v>
      </c>
      <c r="I1383" t="s">
        <v>14</v>
      </c>
      <c r="J1383" t="s">
        <v>15</v>
      </c>
    </row>
    <row r="1384" spans="1:10">
      <c r="A1384" s="2" t="str">
        <f>"1381"</f>
        <v>1381</v>
      </c>
      <c r="B1384" s="2" t="s">
        <v>9</v>
      </c>
      <c r="C1384" s="2" t="str">
        <f>"1 (1)"</f>
        <v>1 (1)</v>
      </c>
      <c r="D1384" s="2" t="s">
        <v>4588</v>
      </c>
      <c r="E1384" s="5" t="s">
        <v>4589</v>
      </c>
      <c r="F1384" s="3" t="s">
        <v>4590</v>
      </c>
      <c r="G1384" s="3" t="s">
        <v>458</v>
      </c>
      <c r="H1384" s="2" t="str">
        <f>"2012"</f>
        <v>2012</v>
      </c>
      <c r="I1384" t="s">
        <v>14</v>
      </c>
      <c r="J1384" t="s">
        <v>15</v>
      </c>
    </row>
    <row r="1385" spans="1:10">
      <c r="A1385" s="2" t="str">
        <f>"1382"</f>
        <v>1382</v>
      </c>
      <c r="B1385" s="2" t="s">
        <v>9</v>
      </c>
      <c r="C1385" s="2" t="str">
        <f>"1 (1)"</f>
        <v>1 (1)</v>
      </c>
      <c r="D1385" s="2" t="s">
        <v>4591</v>
      </c>
      <c r="E1385" s="5" t="s">
        <v>4592</v>
      </c>
      <c r="F1385" s="3" t="s">
        <v>4593</v>
      </c>
      <c r="G1385" s="3" t="s">
        <v>3670</v>
      </c>
      <c r="H1385" s="2" t="str">
        <f>"2013"</f>
        <v>2013</v>
      </c>
      <c r="I1385" t="s">
        <v>14</v>
      </c>
      <c r="J1385" t="s">
        <v>15</v>
      </c>
    </row>
    <row r="1386" spans="1:10">
      <c r="A1386" s="2" t="str">
        <f>"1383"</f>
        <v>1383</v>
      </c>
      <c r="B1386" s="2" t="s">
        <v>9</v>
      </c>
      <c r="C1386" s="2" t="str">
        <f>"1 (1)"</f>
        <v>1 (1)</v>
      </c>
      <c r="D1386" s="2" t="s">
        <v>4594</v>
      </c>
      <c r="E1386" s="5" t="s">
        <v>4595</v>
      </c>
      <c r="F1386" s="3" t="s">
        <v>4596</v>
      </c>
      <c r="G1386" s="3" t="s">
        <v>4597</v>
      </c>
      <c r="H1386" s="2" t="str">
        <f>"2013"</f>
        <v>2013</v>
      </c>
      <c r="I1386" t="s">
        <v>14</v>
      </c>
      <c r="J1386" t="s">
        <v>15</v>
      </c>
    </row>
    <row r="1387" spans="1:10">
      <c r="A1387" s="2" t="str">
        <f>"1384"</f>
        <v>1384</v>
      </c>
      <c r="B1387" s="2" t="s">
        <v>9</v>
      </c>
      <c r="C1387" s="2" t="str">
        <f>"1 (1)"</f>
        <v>1 (1)</v>
      </c>
      <c r="D1387" s="2" t="s">
        <v>4598</v>
      </c>
      <c r="E1387" s="5" t="s">
        <v>4599</v>
      </c>
      <c r="F1387" s="3" t="s">
        <v>4600</v>
      </c>
      <c r="G1387" s="3" t="s">
        <v>3595</v>
      </c>
      <c r="H1387" s="2" t="str">
        <f>"2013"</f>
        <v>2013</v>
      </c>
      <c r="I1387" t="s">
        <v>14</v>
      </c>
      <c r="J1387" t="s">
        <v>15</v>
      </c>
    </row>
    <row r="1388" spans="1:10">
      <c r="A1388" s="2" t="str">
        <f>"1385"</f>
        <v>1385</v>
      </c>
      <c r="B1388" s="2" t="s">
        <v>9</v>
      </c>
      <c r="C1388" s="2" t="str">
        <f>"1 (1)"</f>
        <v>1 (1)</v>
      </c>
      <c r="D1388" s="2" t="s">
        <v>4601</v>
      </c>
      <c r="E1388" s="5" t="s">
        <v>4602</v>
      </c>
      <c r="F1388" s="3" t="s">
        <v>4603</v>
      </c>
      <c r="G1388" s="3" t="s">
        <v>443</v>
      </c>
      <c r="H1388" s="2" t="str">
        <f>"2013"</f>
        <v>2013</v>
      </c>
      <c r="I1388" t="s">
        <v>14</v>
      </c>
      <c r="J1388" t="s">
        <v>15</v>
      </c>
    </row>
    <row r="1389" spans="1:10">
      <c r="A1389" s="2" t="str">
        <f>"1386"</f>
        <v>1386</v>
      </c>
      <c r="B1389" s="2" t="s">
        <v>9</v>
      </c>
      <c r="C1389" s="2" t="str">
        <f>"1 (1)"</f>
        <v>1 (1)</v>
      </c>
      <c r="D1389" s="2" t="s">
        <v>4604</v>
      </c>
      <c r="E1389" s="5" t="s">
        <v>4605</v>
      </c>
      <c r="F1389" s="3" t="s">
        <v>4606</v>
      </c>
      <c r="G1389" s="3" t="s">
        <v>4607</v>
      </c>
      <c r="H1389" s="2" t="str">
        <f>"2013"</f>
        <v>2013</v>
      </c>
      <c r="I1389" t="s">
        <v>14</v>
      </c>
      <c r="J1389" t="s">
        <v>15</v>
      </c>
    </row>
    <row r="1390" spans="1:10">
      <c r="A1390" s="2" t="str">
        <f>"1387"</f>
        <v>1387</v>
      </c>
      <c r="B1390" s="2" t="s">
        <v>9</v>
      </c>
      <c r="C1390" s="2" t="str">
        <f>"1 (1)"</f>
        <v>1 (1)</v>
      </c>
      <c r="D1390" s="2" t="s">
        <v>4608</v>
      </c>
      <c r="E1390" s="5" t="s">
        <v>4609</v>
      </c>
      <c r="F1390" s="3" t="s">
        <v>4610</v>
      </c>
      <c r="G1390" s="3" t="s">
        <v>4078</v>
      </c>
      <c r="H1390" s="2" t="str">
        <f>"2013"</f>
        <v>2013</v>
      </c>
      <c r="I1390" t="s">
        <v>14</v>
      </c>
      <c r="J1390" t="s">
        <v>15</v>
      </c>
    </row>
    <row r="1391" spans="1:10">
      <c r="A1391" s="2" t="str">
        <f>"1388"</f>
        <v>1388</v>
      </c>
      <c r="B1391" s="2" t="s">
        <v>9</v>
      </c>
      <c r="C1391" s="2" t="str">
        <f>"1 (1)"</f>
        <v>1 (1)</v>
      </c>
      <c r="D1391" s="2" t="s">
        <v>4611</v>
      </c>
      <c r="E1391" s="5" t="s">
        <v>4612</v>
      </c>
      <c r="F1391" s="3" t="s">
        <v>4613</v>
      </c>
      <c r="G1391" s="3" t="s">
        <v>4614</v>
      </c>
      <c r="H1391" s="2" t="str">
        <f>"2013"</f>
        <v>2013</v>
      </c>
      <c r="I1391" t="s">
        <v>14</v>
      </c>
      <c r="J1391" t="s">
        <v>15</v>
      </c>
    </row>
    <row r="1392" spans="1:10">
      <c r="A1392" s="2" t="str">
        <f>"1389"</f>
        <v>1389</v>
      </c>
      <c r="B1392" s="2" t="s">
        <v>9</v>
      </c>
      <c r="C1392" s="2" t="str">
        <f>"1 (1)"</f>
        <v>1 (1)</v>
      </c>
      <c r="D1392" s="2" t="s">
        <v>4615</v>
      </c>
      <c r="E1392" s="5" t="s">
        <v>4612</v>
      </c>
      <c r="F1392" s="3" t="s">
        <v>4613</v>
      </c>
      <c r="G1392" s="3" t="s">
        <v>4614</v>
      </c>
      <c r="H1392" s="2" t="str">
        <f>"2013"</f>
        <v>2013</v>
      </c>
      <c r="I1392" t="s">
        <v>14</v>
      </c>
      <c r="J1392" t="s">
        <v>15</v>
      </c>
    </row>
    <row r="1393" spans="1:10">
      <c r="A1393" s="2" t="str">
        <f>"1390"</f>
        <v>1390</v>
      </c>
      <c r="B1393" s="2" t="s">
        <v>9</v>
      </c>
      <c r="C1393" s="2" t="str">
        <f>"1 (1)"</f>
        <v>1 (1)</v>
      </c>
      <c r="D1393" s="2" t="s">
        <v>4616</v>
      </c>
      <c r="E1393" s="5" t="s">
        <v>4617</v>
      </c>
      <c r="F1393" s="3" t="s">
        <v>4613</v>
      </c>
      <c r="G1393" s="3" t="s">
        <v>4614</v>
      </c>
      <c r="H1393" s="2" t="str">
        <f>"2013"</f>
        <v>2013</v>
      </c>
      <c r="I1393" t="s">
        <v>14</v>
      </c>
      <c r="J1393" t="s">
        <v>15</v>
      </c>
    </row>
    <row r="1394" spans="1:10">
      <c r="A1394" s="2" t="str">
        <f>"1391"</f>
        <v>1391</v>
      </c>
      <c r="B1394" s="2" t="s">
        <v>9</v>
      </c>
      <c r="C1394" s="2" t="str">
        <f>"1 (1)"</f>
        <v>1 (1)</v>
      </c>
      <c r="D1394" s="2" t="s">
        <v>4618</v>
      </c>
      <c r="E1394" s="5" t="s">
        <v>4617</v>
      </c>
      <c r="F1394" s="3" t="s">
        <v>4613</v>
      </c>
      <c r="G1394" s="3" t="s">
        <v>4614</v>
      </c>
      <c r="H1394" s="2" t="str">
        <f>"2013"</f>
        <v>2013</v>
      </c>
      <c r="I1394" t="s">
        <v>14</v>
      </c>
      <c r="J1394" t="s">
        <v>15</v>
      </c>
    </row>
    <row r="1395" spans="1:10">
      <c r="A1395" s="2" t="str">
        <f>"1392"</f>
        <v>1392</v>
      </c>
      <c r="B1395" s="2" t="s">
        <v>9</v>
      </c>
      <c r="C1395" s="2" t="str">
        <f>"1 (1)"</f>
        <v>1 (1)</v>
      </c>
      <c r="D1395" s="2" t="s">
        <v>4619</v>
      </c>
      <c r="E1395" s="5" t="s">
        <v>4620</v>
      </c>
      <c r="F1395" s="3" t="s">
        <v>4613</v>
      </c>
      <c r="G1395" s="3" t="s">
        <v>4614</v>
      </c>
      <c r="H1395" s="2" t="str">
        <f>"2013"</f>
        <v>2013</v>
      </c>
      <c r="I1395" t="s">
        <v>14</v>
      </c>
      <c r="J1395" t="s">
        <v>15</v>
      </c>
    </row>
    <row r="1396" spans="1:10">
      <c r="A1396" s="2" t="str">
        <f>"1393"</f>
        <v>1393</v>
      </c>
      <c r="B1396" s="2" t="s">
        <v>9</v>
      </c>
      <c r="C1396" s="2" t="str">
        <f>"1 (1)"</f>
        <v>1 (1)</v>
      </c>
      <c r="D1396" s="2" t="s">
        <v>4621</v>
      </c>
      <c r="E1396" s="5" t="s">
        <v>4620</v>
      </c>
      <c r="F1396" s="3" t="s">
        <v>4613</v>
      </c>
      <c r="G1396" s="3" t="s">
        <v>4614</v>
      </c>
      <c r="H1396" s="2" t="str">
        <f>"2013"</f>
        <v>2013</v>
      </c>
      <c r="I1396" t="s">
        <v>14</v>
      </c>
      <c r="J1396" t="s">
        <v>15</v>
      </c>
    </row>
    <row r="1397" spans="1:10">
      <c r="A1397" s="2" t="str">
        <f>"1394"</f>
        <v>1394</v>
      </c>
      <c r="B1397" s="2" t="s">
        <v>9</v>
      </c>
      <c r="C1397" s="2" t="str">
        <f>"1 (1)"</f>
        <v>1 (1)</v>
      </c>
      <c r="D1397" s="2" t="s">
        <v>4622</v>
      </c>
      <c r="E1397" s="5" t="s">
        <v>4623</v>
      </c>
      <c r="F1397" s="3" t="s">
        <v>4624</v>
      </c>
      <c r="G1397" s="3" t="s">
        <v>4369</v>
      </c>
      <c r="H1397" s="2" t="str">
        <f>"2011"</f>
        <v>2011</v>
      </c>
      <c r="I1397" t="s">
        <v>14</v>
      </c>
      <c r="J1397" t="s">
        <v>15</v>
      </c>
    </row>
    <row r="1398" spans="1:10">
      <c r="A1398" s="2" t="str">
        <f>"1395"</f>
        <v>1395</v>
      </c>
      <c r="B1398" s="2" t="s">
        <v>9</v>
      </c>
      <c r="C1398" s="2" t="str">
        <f>"1 (1)"</f>
        <v>1 (1)</v>
      </c>
      <c r="D1398" s="2" t="s">
        <v>4625</v>
      </c>
      <c r="E1398" s="5" t="s">
        <v>4626</v>
      </c>
      <c r="F1398" s="3" t="s">
        <v>4627</v>
      </c>
      <c r="G1398" s="3" t="s">
        <v>4343</v>
      </c>
      <c r="H1398" s="2" t="str">
        <f>"2011"</f>
        <v>2011</v>
      </c>
      <c r="I1398" t="s">
        <v>14</v>
      </c>
      <c r="J1398" t="s">
        <v>15</v>
      </c>
    </row>
    <row r="1399" spans="1:10">
      <c r="A1399" s="2" t="str">
        <f>"1396"</f>
        <v>1396</v>
      </c>
      <c r="B1399" s="2" t="s">
        <v>9</v>
      </c>
      <c r="C1399" s="2" t="str">
        <f>"1 (1)"</f>
        <v>1 (1)</v>
      </c>
      <c r="D1399" s="2" t="s">
        <v>4628</v>
      </c>
      <c r="E1399" s="5" t="str">
        <f>"10년차, 밥줄을 놓치면 꿈줄도 놓친다 : 3040 직장인을 위한 브랜드 완성 전략"</f>
        <v>10년차, 밥줄을 놓치면 꿈줄도 놓친다 : 3040 직장인을 위한 브랜드 완성 전략</v>
      </c>
      <c r="F1399" s="3" t="s">
        <v>4629</v>
      </c>
      <c r="G1399" s="3" t="s">
        <v>2118</v>
      </c>
      <c r="H1399" s="2" t="str">
        <f>"2013"</f>
        <v>2013</v>
      </c>
      <c r="I1399" t="s">
        <v>14</v>
      </c>
      <c r="J1399" t="s">
        <v>15</v>
      </c>
    </row>
    <row r="1400" spans="1:10">
      <c r="A1400" s="2" t="str">
        <f>"1397"</f>
        <v>1397</v>
      </c>
      <c r="B1400" s="2" t="s">
        <v>9</v>
      </c>
      <c r="C1400" s="2" t="str">
        <f>"1 (1)"</f>
        <v>1 (1)</v>
      </c>
      <c r="D1400" s="2" t="s">
        <v>4630</v>
      </c>
      <c r="E1400" s="5" t="s">
        <v>4631</v>
      </c>
      <c r="F1400" s="3" t="s">
        <v>4632</v>
      </c>
      <c r="G1400" s="3" t="s">
        <v>4060</v>
      </c>
      <c r="H1400" s="2" t="str">
        <f>"2013"</f>
        <v>2013</v>
      </c>
      <c r="I1400" t="s">
        <v>14</v>
      </c>
      <c r="J1400" t="s">
        <v>15</v>
      </c>
    </row>
    <row r="1401" spans="1:10">
      <c r="A1401" s="2" t="str">
        <f>"1398"</f>
        <v>1398</v>
      </c>
      <c r="B1401" s="2" t="s">
        <v>9</v>
      </c>
      <c r="C1401" s="2" t="str">
        <f>"1 (1)"</f>
        <v>1 (1)</v>
      </c>
      <c r="D1401" s="2" t="s">
        <v>4633</v>
      </c>
      <c r="E1401" s="5" t="s">
        <v>4634</v>
      </c>
      <c r="F1401" s="3" t="s">
        <v>4635</v>
      </c>
      <c r="G1401" s="3" t="s">
        <v>2033</v>
      </c>
      <c r="H1401" s="2" t="str">
        <f>"2013"</f>
        <v>2013</v>
      </c>
      <c r="I1401" t="s">
        <v>14</v>
      </c>
      <c r="J1401" t="s">
        <v>15</v>
      </c>
    </row>
    <row r="1402" spans="1:10">
      <c r="A1402" s="2" t="str">
        <f>"1399"</f>
        <v>1399</v>
      </c>
      <c r="B1402" s="2" t="s">
        <v>9</v>
      </c>
      <c r="C1402" s="2" t="str">
        <f>"1 (1)"</f>
        <v>1 (1)</v>
      </c>
      <c r="D1402" s="2" t="s">
        <v>4636</v>
      </c>
      <c r="E1402" s="5" t="str">
        <f>"20대, 고민없는 청춘은 어디에도 없다 : 변화를 리드하며 당당하게 인생을 개척하라"</f>
        <v>20대, 고민없는 청춘은 어디에도 없다 : 변화를 리드하며 당당하게 인생을 개척하라</v>
      </c>
      <c r="F1402" s="3" t="s">
        <v>4637</v>
      </c>
      <c r="G1402" s="3" t="s">
        <v>3864</v>
      </c>
      <c r="H1402" s="2" t="str">
        <f>"2013"</f>
        <v>2013</v>
      </c>
      <c r="I1402" t="s">
        <v>14</v>
      </c>
      <c r="J1402" t="s">
        <v>15</v>
      </c>
    </row>
    <row r="1403" spans="1:10">
      <c r="A1403" s="2" t="str">
        <f>"1400"</f>
        <v>1400</v>
      </c>
      <c r="B1403" s="2" t="s">
        <v>9</v>
      </c>
      <c r="C1403" s="2" t="str">
        <f>"1 (1)"</f>
        <v>1 (1)</v>
      </c>
      <c r="D1403" s="2" t="s">
        <v>4638</v>
      </c>
      <c r="E1403" s="5" t="str">
        <f>"20대가 가장 알고 싶은 돈 관리법 75 : 재테크를 시작하는 20대를 위한 자산관리의 모든 것"</f>
        <v>20대가 가장 알고 싶은 돈 관리법 75 : 재테크를 시작하는 20대를 위한 자산관리의 모든 것</v>
      </c>
      <c r="F1403" s="3" t="s">
        <v>4639</v>
      </c>
      <c r="G1403" s="3" t="s">
        <v>4394</v>
      </c>
      <c r="H1403" s="2" t="str">
        <f>"2013"</f>
        <v>2013</v>
      </c>
      <c r="I1403" t="s">
        <v>14</v>
      </c>
      <c r="J1403" t="s">
        <v>15</v>
      </c>
    </row>
    <row r="1404" spans="1:10">
      <c r="A1404" s="2" t="str">
        <f>"1401"</f>
        <v>1401</v>
      </c>
      <c r="B1404" s="2" t="s">
        <v>9</v>
      </c>
      <c r="C1404" s="2" t="str">
        <f>"1 (1)"</f>
        <v>1 (1)</v>
      </c>
      <c r="D1404" s="2" t="s">
        <v>4640</v>
      </c>
      <c r="E1404" s="5" t="s">
        <v>4641</v>
      </c>
      <c r="F1404" s="3" t="s">
        <v>4642</v>
      </c>
      <c r="G1404" s="3" t="s">
        <v>4643</v>
      </c>
      <c r="H1404" s="2" t="str">
        <f>"2013"</f>
        <v>2013</v>
      </c>
      <c r="I1404" t="s">
        <v>14</v>
      </c>
      <c r="J1404" t="s">
        <v>15</v>
      </c>
    </row>
    <row r="1405" spans="1:10">
      <c r="A1405" s="2" t="str">
        <f>"1402"</f>
        <v>1402</v>
      </c>
      <c r="B1405" s="2" t="s">
        <v>9</v>
      </c>
      <c r="C1405" s="2" t="str">
        <f>"1 (1)"</f>
        <v>1 (1)</v>
      </c>
      <c r="D1405" s="2" t="s">
        <v>4644</v>
      </c>
      <c r="E1405" s="5" t="s">
        <v>4645</v>
      </c>
      <c r="F1405" s="3" t="s">
        <v>4646</v>
      </c>
      <c r="G1405" s="3" t="s">
        <v>4357</v>
      </c>
      <c r="H1405" s="2" t="str">
        <f>"2013"</f>
        <v>2013</v>
      </c>
      <c r="I1405" t="s">
        <v>14</v>
      </c>
      <c r="J1405" t="s">
        <v>15</v>
      </c>
    </row>
    <row r="1406" spans="1:10">
      <c r="A1406" s="2" t="str">
        <f>"1403"</f>
        <v>1403</v>
      </c>
      <c r="B1406" s="2" t="s">
        <v>9</v>
      </c>
      <c r="C1406" s="2" t="str">
        <f>"1 (1)"</f>
        <v>1 (1)</v>
      </c>
      <c r="D1406" s="2" t="s">
        <v>4647</v>
      </c>
      <c r="E1406" s="5" t="s">
        <v>4648</v>
      </c>
      <c r="F1406" s="3" t="s">
        <v>4649</v>
      </c>
      <c r="G1406" s="3" t="s">
        <v>4650</v>
      </c>
      <c r="H1406" s="2" t="str">
        <f>"2013"</f>
        <v>2013</v>
      </c>
      <c r="I1406" t="s">
        <v>14</v>
      </c>
      <c r="J1406" t="s">
        <v>15</v>
      </c>
    </row>
    <row r="1407" spans="1:10">
      <c r="A1407" s="2" t="str">
        <f>"1404"</f>
        <v>1404</v>
      </c>
      <c r="B1407" s="2" t="s">
        <v>9</v>
      </c>
      <c r="C1407" s="2" t="str">
        <f>"1 (1)"</f>
        <v>1 (1)</v>
      </c>
      <c r="D1407" s="2" t="s">
        <v>4651</v>
      </c>
      <c r="E1407" s="5" t="s">
        <v>4652</v>
      </c>
      <c r="F1407" s="3" t="s">
        <v>4653</v>
      </c>
      <c r="G1407" s="3" t="s">
        <v>4654</v>
      </c>
      <c r="H1407" s="2" t="str">
        <f>"2013"</f>
        <v>2013</v>
      </c>
      <c r="I1407" t="s">
        <v>14</v>
      </c>
      <c r="J1407" t="s">
        <v>15</v>
      </c>
    </row>
    <row r="1408" spans="1:10">
      <c r="A1408" s="2" t="str">
        <f>"1405"</f>
        <v>1405</v>
      </c>
      <c r="B1408" s="2" t="s">
        <v>9</v>
      </c>
      <c r="C1408" s="2" t="str">
        <f>"1 (1)"</f>
        <v>1 (1)</v>
      </c>
      <c r="D1408" s="2" t="s">
        <v>4655</v>
      </c>
      <c r="E1408" s="5" t="s">
        <v>4656</v>
      </c>
      <c r="F1408" s="3" t="s">
        <v>4657</v>
      </c>
      <c r="G1408" s="3" t="s">
        <v>4658</v>
      </c>
      <c r="H1408" s="2" t="str">
        <f>"2013"</f>
        <v>2013</v>
      </c>
      <c r="I1408" t="s">
        <v>14</v>
      </c>
      <c r="J1408" t="s">
        <v>15</v>
      </c>
    </row>
    <row r="1409" spans="1:10">
      <c r="A1409" s="2" t="str">
        <f>"1406"</f>
        <v>1406</v>
      </c>
      <c r="B1409" s="2" t="s">
        <v>9</v>
      </c>
      <c r="C1409" s="2" t="str">
        <f>"1 (1)"</f>
        <v>1 (1)</v>
      </c>
      <c r="D1409" s="2" t="s">
        <v>4659</v>
      </c>
      <c r="E1409" s="5" t="s">
        <v>4660</v>
      </c>
      <c r="F1409" s="3" t="s">
        <v>4661</v>
      </c>
      <c r="G1409" s="3" t="s">
        <v>2742</v>
      </c>
      <c r="H1409" s="2" t="str">
        <f>"2012"</f>
        <v>2012</v>
      </c>
      <c r="I1409" t="s">
        <v>14</v>
      </c>
      <c r="J1409" t="s">
        <v>15</v>
      </c>
    </row>
    <row r="1410" spans="1:10">
      <c r="A1410" s="2" t="str">
        <f>"1407"</f>
        <v>1407</v>
      </c>
      <c r="B1410" s="2" t="s">
        <v>9</v>
      </c>
      <c r="C1410" s="2" t="str">
        <f>"1 (1)"</f>
        <v>1 (1)</v>
      </c>
      <c r="D1410" s="2" t="s">
        <v>4662</v>
      </c>
      <c r="E1410" s="5" t="s">
        <v>4663</v>
      </c>
      <c r="F1410" s="3" t="s">
        <v>2565</v>
      </c>
      <c r="G1410" s="3" t="s">
        <v>2742</v>
      </c>
      <c r="H1410" s="2" t="str">
        <f>"2012"</f>
        <v>2012</v>
      </c>
      <c r="I1410" t="s">
        <v>14</v>
      </c>
      <c r="J1410" t="s">
        <v>15</v>
      </c>
    </row>
    <row r="1411" spans="1:10">
      <c r="A1411" s="2" t="str">
        <f>"1408"</f>
        <v>1408</v>
      </c>
      <c r="B1411" s="2" t="s">
        <v>9</v>
      </c>
      <c r="C1411" s="2" t="str">
        <f>"1 (1)"</f>
        <v>1 (1)</v>
      </c>
      <c r="D1411" s="2" t="s">
        <v>4664</v>
      </c>
      <c r="E1411" s="5" t="s">
        <v>4665</v>
      </c>
      <c r="F1411" s="3" t="s">
        <v>4666</v>
      </c>
      <c r="G1411" s="3" t="s">
        <v>4667</v>
      </c>
      <c r="H1411" s="2" t="str">
        <f>"2013"</f>
        <v>2013</v>
      </c>
      <c r="I1411" t="s">
        <v>14</v>
      </c>
      <c r="J1411" t="s">
        <v>15</v>
      </c>
    </row>
    <row r="1412" spans="1:10">
      <c r="A1412" s="2" t="str">
        <f>"1409"</f>
        <v>1409</v>
      </c>
      <c r="B1412" s="2" t="s">
        <v>9</v>
      </c>
      <c r="C1412" s="2" t="str">
        <f>"1 (1)"</f>
        <v>1 (1)</v>
      </c>
      <c r="D1412" s="2" t="s">
        <v>4668</v>
      </c>
      <c r="E1412" s="5" t="s">
        <v>4669</v>
      </c>
      <c r="F1412" s="3" t="s">
        <v>4670</v>
      </c>
      <c r="G1412" s="3" t="s">
        <v>1010</v>
      </c>
      <c r="H1412" s="2" t="str">
        <f>"2013"</f>
        <v>2013</v>
      </c>
      <c r="I1412" t="s">
        <v>14</v>
      </c>
      <c r="J1412" t="s">
        <v>15</v>
      </c>
    </row>
    <row r="1413" spans="1:10">
      <c r="A1413" s="2" t="str">
        <f>"1410"</f>
        <v>1410</v>
      </c>
      <c r="B1413" s="2" t="s">
        <v>9</v>
      </c>
      <c r="C1413" s="2" t="str">
        <f>"1 (1)"</f>
        <v>1 (1)</v>
      </c>
      <c r="D1413" s="2" t="s">
        <v>4671</v>
      </c>
      <c r="E1413" s="5" t="s">
        <v>4672</v>
      </c>
      <c r="F1413" s="3" t="s">
        <v>4673</v>
      </c>
      <c r="G1413" s="3" t="s">
        <v>4674</v>
      </c>
      <c r="H1413" s="2" t="str">
        <f>"2013"</f>
        <v>2013</v>
      </c>
      <c r="I1413" t="s">
        <v>14</v>
      </c>
      <c r="J1413" t="s">
        <v>15</v>
      </c>
    </row>
    <row r="1414" spans="1:10">
      <c r="A1414" s="2" t="str">
        <f>"1411"</f>
        <v>1411</v>
      </c>
      <c r="B1414" s="2" t="s">
        <v>9</v>
      </c>
      <c r="C1414" s="2" t="str">
        <f>"1 (1)"</f>
        <v>1 (1)</v>
      </c>
      <c r="D1414" s="2" t="s">
        <v>4675</v>
      </c>
      <c r="E1414" s="5" t="s">
        <v>4676</v>
      </c>
      <c r="F1414" s="3" t="s">
        <v>4677</v>
      </c>
      <c r="G1414" s="3" t="s">
        <v>4678</v>
      </c>
      <c r="H1414" s="2" t="str">
        <f>"2013"</f>
        <v>2013</v>
      </c>
      <c r="I1414" t="s">
        <v>14</v>
      </c>
      <c r="J1414" t="s">
        <v>15</v>
      </c>
    </row>
    <row r="1415" spans="1:10">
      <c r="A1415" s="2" t="str">
        <f>"1412"</f>
        <v>1412</v>
      </c>
      <c r="B1415" s="2" t="s">
        <v>9</v>
      </c>
      <c r="C1415" s="2" t="str">
        <f>"1 (1)"</f>
        <v>1 (1)</v>
      </c>
      <c r="D1415" s="2" t="s">
        <v>4679</v>
      </c>
      <c r="E1415" s="5" t="s">
        <v>4680</v>
      </c>
      <c r="F1415" s="3" t="s">
        <v>4681</v>
      </c>
      <c r="G1415" s="3" t="s">
        <v>4682</v>
      </c>
      <c r="H1415" s="2" t="str">
        <f>"2013"</f>
        <v>2013</v>
      </c>
      <c r="I1415" t="s">
        <v>14</v>
      </c>
      <c r="J1415" t="s">
        <v>15</v>
      </c>
    </row>
    <row r="1416" spans="1:10">
      <c r="A1416" s="2" t="str">
        <f>"1413"</f>
        <v>1413</v>
      </c>
      <c r="B1416" s="2" t="s">
        <v>9</v>
      </c>
      <c r="C1416" s="2" t="str">
        <f>"1 (1)"</f>
        <v>1 (1)</v>
      </c>
      <c r="D1416" s="2" t="s">
        <v>4683</v>
      </c>
      <c r="E1416" s="5" t="s">
        <v>4684</v>
      </c>
      <c r="F1416" s="3" t="s">
        <v>4685</v>
      </c>
      <c r="G1416" s="3" t="s">
        <v>4686</v>
      </c>
      <c r="H1416" s="2" t="str">
        <f>"2013"</f>
        <v>2013</v>
      </c>
      <c r="I1416" t="s">
        <v>14</v>
      </c>
      <c r="J1416" t="s">
        <v>15</v>
      </c>
    </row>
    <row r="1417" spans="1:10">
      <c r="A1417" s="2" t="str">
        <f>"1414"</f>
        <v>1414</v>
      </c>
      <c r="B1417" s="2" t="s">
        <v>9</v>
      </c>
      <c r="C1417" s="2" t="str">
        <f>"1 (1)"</f>
        <v>1 (1)</v>
      </c>
      <c r="D1417" s="2" t="s">
        <v>4687</v>
      </c>
      <c r="E1417" s="5" t="s">
        <v>4688</v>
      </c>
      <c r="F1417" s="3" t="s">
        <v>4689</v>
      </c>
      <c r="G1417" s="3" t="s">
        <v>4690</v>
      </c>
      <c r="H1417" s="2" t="str">
        <f>"2013"</f>
        <v>2013</v>
      </c>
      <c r="I1417" t="s">
        <v>14</v>
      </c>
      <c r="J1417" t="s">
        <v>15</v>
      </c>
    </row>
    <row r="1418" spans="1:10">
      <c r="A1418" s="2" t="str">
        <f>"1415"</f>
        <v>1415</v>
      </c>
      <c r="B1418" s="2" t="s">
        <v>9</v>
      </c>
      <c r="C1418" s="2" t="str">
        <f>"1 (1)"</f>
        <v>1 (1)</v>
      </c>
      <c r="D1418" s="2" t="s">
        <v>4691</v>
      </c>
      <c r="E1418" s="5" t="s">
        <v>4692</v>
      </c>
      <c r="F1418" s="3" t="s">
        <v>4693</v>
      </c>
      <c r="G1418" s="3" t="s">
        <v>4694</v>
      </c>
      <c r="H1418" s="2" t="str">
        <f>"2013"</f>
        <v>2013</v>
      </c>
      <c r="I1418" t="s">
        <v>14</v>
      </c>
      <c r="J1418" t="s">
        <v>15</v>
      </c>
    </row>
    <row r="1419" spans="1:10">
      <c r="A1419" s="2" t="str">
        <f>"1416"</f>
        <v>1416</v>
      </c>
      <c r="B1419" s="2" t="s">
        <v>9</v>
      </c>
      <c r="C1419" s="2" t="str">
        <f>"1 (1)"</f>
        <v>1 (1)</v>
      </c>
      <c r="D1419" s="2" t="s">
        <v>4695</v>
      </c>
      <c r="E1419" s="5" t="s">
        <v>4696</v>
      </c>
      <c r="F1419" s="3" t="s">
        <v>4697</v>
      </c>
      <c r="G1419" s="3" t="s">
        <v>4698</v>
      </c>
      <c r="H1419" s="2" t="str">
        <f>"2013"</f>
        <v>2013</v>
      </c>
      <c r="I1419" t="s">
        <v>14</v>
      </c>
      <c r="J1419" t="s">
        <v>15</v>
      </c>
    </row>
    <row r="1420" spans="1:10">
      <c r="A1420" s="2" t="str">
        <f>"1417"</f>
        <v>1417</v>
      </c>
      <c r="B1420" s="2" t="s">
        <v>9</v>
      </c>
      <c r="C1420" s="2" t="str">
        <f>"1 (1)"</f>
        <v>1 (1)</v>
      </c>
      <c r="D1420" s="2" t="s">
        <v>4699</v>
      </c>
      <c r="E1420" s="5" t="s">
        <v>4700</v>
      </c>
      <c r="F1420" s="3" t="s">
        <v>4697</v>
      </c>
      <c r="G1420" s="3" t="s">
        <v>4698</v>
      </c>
      <c r="H1420" s="2" t="str">
        <f>"2013"</f>
        <v>2013</v>
      </c>
      <c r="I1420" t="s">
        <v>14</v>
      </c>
      <c r="J1420" t="s">
        <v>15</v>
      </c>
    </row>
    <row r="1421" spans="1:10">
      <c r="A1421" s="2" t="str">
        <f>"1418"</f>
        <v>1418</v>
      </c>
      <c r="B1421" s="2" t="s">
        <v>9</v>
      </c>
      <c r="C1421" s="2" t="str">
        <f>"1 (1)"</f>
        <v>1 (1)</v>
      </c>
      <c r="D1421" s="2" t="s">
        <v>4701</v>
      </c>
      <c r="E1421" s="5" t="s">
        <v>4702</v>
      </c>
      <c r="F1421" s="3" t="s">
        <v>4703</v>
      </c>
      <c r="G1421" s="3" t="s">
        <v>4704</v>
      </c>
      <c r="H1421" s="2" t="str">
        <f>"2012"</f>
        <v>2012</v>
      </c>
      <c r="I1421" t="s">
        <v>14</v>
      </c>
      <c r="J1421" t="s">
        <v>15</v>
      </c>
    </row>
    <row r="1422" spans="1:10">
      <c r="A1422" s="2" t="str">
        <f>"1419"</f>
        <v>1419</v>
      </c>
      <c r="B1422" s="2" t="s">
        <v>9</v>
      </c>
      <c r="C1422" s="2" t="str">
        <f>"1 (1)"</f>
        <v>1 (1)</v>
      </c>
      <c r="D1422" s="2" t="s">
        <v>4705</v>
      </c>
      <c r="E1422" s="5" t="s">
        <v>4706</v>
      </c>
      <c r="F1422" s="3" t="s">
        <v>4707</v>
      </c>
      <c r="G1422" s="3" t="s">
        <v>880</v>
      </c>
      <c r="H1422" s="2" t="str">
        <f>"2013"</f>
        <v>2013</v>
      </c>
      <c r="I1422" t="s">
        <v>14</v>
      </c>
      <c r="J1422" t="s">
        <v>15</v>
      </c>
    </row>
    <row r="1423" spans="1:10">
      <c r="A1423" s="2" t="str">
        <f>"1420"</f>
        <v>1420</v>
      </c>
      <c r="B1423" s="2" t="s">
        <v>9</v>
      </c>
      <c r="C1423" s="2" t="str">
        <f>"1 (1)"</f>
        <v>1 (1)</v>
      </c>
      <c r="D1423" s="2" t="s">
        <v>4708</v>
      </c>
      <c r="E1423" s="5" t="s">
        <v>4709</v>
      </c>
      <c r="F1423" s="3" t="s">
        <v>4710</v>
      </c>
      <c r="G1423" s="3" t="s">
        <v>4343</v>
      </c>
      <c r="H1423" s="2" t="str">
        <f>"2013"</f>
        <v>2013</v>
      </c>
      <c r="I1423" t="s">
        <v>14</v>
      </c>
      <c r="J1423" t="s">
        <v>15</v>
      </c>
    </row>
    <row r="1424" spans="1:10">
      <c r="A1424" s="2" t="str">
        <f>"1421"</f>
        <v>1421</v>
      </c>
      <c r="B1424" s="2" t="s">
        <v>9</v>
      </c>
      <c r="C1424" s="2" t="str">
        <f>"1 (1)"</f>
        <v>1 (1)</v>
      </c>
      <c r="D1424" s="2" t="s">
        <v>4711</v>
      </c>
      <c r="E1424" s="5" t="s">
        <v>4712</v>
      </c>
      <c r="F1424" s="3" t="s">
        <v>4713</v>
      </c>
      <c r="G1424" s="3" t="s">
        <v>4714</v>
      </c>
      <c r="H1424" s="2" t="str">
        <f>"2013"</f>
        <v>2013</v>
      </c>
      <c r="I1424" t="s">
        <v>14</v>
      </c>
      <c r="J1424" t="s">
        <v>15</v>
      </c>
    </row>
    <row r="1425" spans="1:10">
      <c r="A1425" s="2" t="str">
        <f>"1422"</f>
        <v>1422</v>
      </c>
      <c r="B1425" s="2" t="s">
        <v>9</v>
      </c>
      <c r="C1425" s="2" t="str">
        <f>"1 (1)"</f>
        <v>1 (1)</v>
      </c>
      <c r="D1425" s="2" t="s">
        <v>4715</v>
      </c>
      <c r="E1425" s="5" t="s">
        <v>4716</v>
      </c>
      <c r="F1425" s="3" t="s">
        <v>4717</v>
      </c>
      <c r="G1425" s="3" t="s">
        <v>1991</v>
      </c>
      <c r="H1425" s="2" t="str">
        <f>"2013"</f>
        <v>2013</v>
      </c>
      <c r="I1425" t="s">
        <v>14</v>
      </c>
      <c r="J1425" t="s">
        <v>15</v>
      </c>
    </row>
    <row r="1426" spans="1:10">
      <c r="A1426" s="2" t="str">
        <f>"1423"</f>
        <v>1423</v>
      </c>
      <c r="B1426" s="2" t="s">
        <v>9</v>
      </c>
      <c r="C1426" s="2" t="str">
        <f>"1 (1)"</f>
        <v>1 (1)</v>
      </c>
      <c r="D1426" s="2" t="s">
        <v>4718</v>
      </c>
      <c r="E1426" s="5" t="s">
        <v>4716</v>
      </c>
      <c r="F1426" s="3" t="s">
        <v>4717</v>
      </c>
      <c r="G1426" s="3" t="s">
        <v>1991</v>
      </c>
      <c r="H1426" s="2" t="str">
        <f>"2013"</f>
        <v>2013</v>
      </c>
      <c r="I1426" t="s">
        <v>14</v>
      </c>
      <c r="J1426" t="s">
        <v>15</v>
      </c>
    </row>
    <row r="1427" spans="1:10">
      <c r="A1427" s="2" t="str">
        <f>"1424"</f>
        <v>1424</v>
      </c>
      <c r="B1427" s="2" t="s">
        <v>9</v>
      </c>
      <c r="C1427" s="2" t="str">
        <f>"1 (1)"</f>
        <v>1 (1)</v>
      </c>
      <c r="D1427" s="2" t="s">
        <v>4719</v>
      </c>
      <c r="E1427" s="5" t="s">
        <v>4720</v>
      </c>
      <c r="F1427" s="3" t="s">
        <v>4721</v>
      </c>
      <c r="G1427" s="3" t="s">
        <v>4722</v>
      </c>
      <c r="H1427" s="2" t="str">
        <f>"2013"</f>
        <v>2013</v>
      </c>
      <c r="I1427" t="s">
        <v>14</v>
      </c>
      <c r="J1427" t="s">
        <v>15</v>
      </c>
    </row>
    <row r="1428" spans="1:10">
      <c r="A1428" s="2" t="str">
        <f>"1425"</f>
        <v>1425</v>
      </c>
      <c r="B1428" s="2" t="s">
        <v>9</v>
      </c>
      <c r="C1428" s="2" t="str">
        <f>"1 (1)"</f>
        <v>1 (1)</v>
      </c>
      <c r="D1428" s="2" t="s">
        <v>4723</v>
      </c>
      <c r="E1428" s="5" t="s">
        <v>4724</v>
      </c>
      <c r="F1428" s="3" t="s">
        <v>4725</v>
      </c>
      <c r="G1428" s="3" t="s">
        <v>3778</v>
      </c>
      <c r="H1428" s="2" t="str">
        <f>"2013"</f>
        <v>2013</v>
      </c>
      <c r="I1428" t="s">
        <v>14</v>
      </c>
      <c r="J1428" t="s">
        <v>15</v>
      </c>
    </row>
    <row r="1429" spans="1:10">
      <c r="A1429" s="2" t="str">
        <f>"1426"</f>
        <v>1426</v>
      </c>
      <c r="B1429" s="2" t="s">
        <v>9</v>
      </c>
      <c r="C1429" s="2" t="str">
        <f>"1 (1)"</f>
        <v>1 (1)</v>
      </c>
      <c r="D1429" s="2" t="s">
        <v>4726</v>
      </c>
      <c r="E1429" s="5" t="s">
        <v>4727</v>
      </c>
      <c r="F1429" s="3" t="s">
        <v>4728</v>
      </c>
      <c r="G1429" s="3" t="s">
        <v>4082</v>
      </c>
      <c r="H1429" s="2" t="str">
        <f>"2013"</f>
        <v>2013</v>
      </c>
      <c r="I1429" t="s">
        <v>14</v>
      </c>
      <c r="J1429" t="s">
        <v>15</v>
      </c>
    </row>
    <row r="1430" spans="1:10">
      <c r="A1430" s="2" t="str">
        <f>"1427"</f>
        <v>1427</v>
      </c>
      <c r="B1430" s="2" t="s">
        <v>9</v>
      </c>
      <c r="C1430" s="2" t="str">
        <f>"1 (1)"</f>
        <v>1 (1)</v>
      </c>
      <c r="D1430" s="2" t="s">
        <v>4729</v>
      </c>
      <c r="E1430" s="5" t="s">
        <v>4730</v>
      </c>
      <c r="F1430" s="3" t="s">
        <v>4731</v>
      </c>
      <c r="G1430" s="3" t="s">
        <v>4732</v>
      </c>
      <c r="H1430" s="2" t="str">
        <f>"2013"</f>
        <v>2013</v>
      </c>
      <c r="I1430" t="s">
        <v>14</v>
      </c>
      <c r="J1430" t="s">
        <v>15</v>
      </c>
    </row>
    <row r="1431" spans="1:10">
      <c r="A1431" s="2" t="str">
        <f>"1428"</f>
        <v>1428</v>
      </c>
      <c r="B1431" s="2" t="s">
        <v>9</v>
      </c>
      <c r="C1431" s="2" t="str">
        <f>"1 (1)"</f>
        <v>1 (1)</v>
      </c>
      <c r="D1431" s="2" t="s">
        <v>4733</v>
      </c>
      <c r="E1431" s="5" t="s">
        <v>4734</v>
      </c>
      <c r="F1431" s="3" t="s">
        <v>4735</v>
      </c>
      <c r="G1431" s="3" t="s">
        <v>4736</v>
      </c>
      <c r="H1431" s="2" t="str">
        <f>"2013"</f>
        <v>2013</v>
      </c>
      <c r="I1431" t="s">
        <v>14</v>
      </c>
      <c r="J1431" t="s">
        <v>15</v>
      </c>
    </row>
    <row r="1432" spans="1:10">
      <c r="A1432" s="2" t="str">
        <f>"1429"</f>
        <v>1429</v>
      </c>
      <c r="B1432" s="2" t="s">
        <v>9</v>
      </c>
      <c r="C1432" s="2" t="str">
        <f>"1 (1)"</f>
        <v>1 (1)</v>
      </c>
      <c r="D1432" s="2" t="s">
        <v>4737</v>
      </c>
      <c r="E1432" s="5" t="s">
        <v>4738</v>
      </c>
      <c r="F1432" s="3" t="s">
        <v>4739</v>
      </c>
      <c r="G1432" s="3" t="s">
        <v>4740</v>
      </c>
      <c r="H1432" s="2" t="str">
        <f>"2013"</f>
        <v>2013</v>
      </c>
      <c r="I1432" t="s">
        <v>14</v>
      </c>
      <c r="J1432" t="s">
        <v>15</v>
      </c>
    </row>
    <row r="1433" spans="1:10">
      <c r="A1433" s="2" t="str">
        <f>"1430"</f>
        <v>1430</v>
      </c>
      <c r="B1433" s="2" t="s">
        <v>9</v>
      </c>
      <c r="C1433" s="2" t="str">
        <f>"1 (1)"</f>
        <v>1 (1)</v>
      </c>
      <c r="D1433" s="2" t="s">
        <v>4741</v>
      </c>
      <c r="E1433" s="5" t="s">
        <v>4738</v>
      </c>
      <c r="F1433" s="3" t="s">
        <v>4739</v>
      </c>
      <c r="G1433" s="3" t="s">
        <v>4740</v>
      </c>
      <c r="H1433" s="2" t="str">
        <f>"2013"</f>
        <v>2013</v>
      </c>
      <c r="I1433" t="s">
        <v>14</v>
      </c>
      <c r="J1433" t="s">
        <v>15</v>
      </c>
    </row>
    <row r="1434" spans="1:10">
      <c r="A1434" s="2" t="str">
        <f>"1431"</f>
        <v>1431</v>
      </c>
      <c r="B1434" s="2" t="s">
        <v>9</v>
      </c>
      <c r="C1434" s="2" t="str">
        <f>"1 (1)"</f>
        <v>1 (1)</v>
      </c>
      <c r="D1434" s="2" t="s">
        <v>4742</v>
      </c>
      <c r="E1434" s="5" t="s">
        <v>4743</v>
      </c>
      <c r="F1434" s="3" t="s">
        <v>4744</v>
      </c>
      <c r="G1434" s="3" t="s">
        <v>4745</v>
      </c>
      <c r="H1434" s="2" t="str">
        <f>"2013"</f>
        <v>2013</v>
      </c>
      <c r="I1434" t="s">
        <v>14</v>
      </c>
      <c r="J1434" t="s">
        <v>15</v>
      </c>
    </row>
    <row r="1435" spans="1:10">
      <c r="A1435" s="2" t="str">
        <f>"1432"</f>
        <v>1432</v>
      </c>
      <c r="B1435" s="2" t="s">
        <v>9</v>
      </c>
      <c r="C1435" s="2" t="str">
        <f>"1 (1)"</f>
        <v>1 (1)</v>
      </c>
      <c r="D1435" s="2" t="s">
        <v>4746</v>
      </c>
      <c r="E1435" s="5" t="s">
        <v>4747</v>
      </c>
      <c r="F1435" s="3" t="s">
        <v>4748</v>
      </c>
      <c r="G1435" s="3" t="s">
        <v>4749</v>
      </c>
      <c r="H1435" s="2" t="str">
        <f>"2012"</f>
        <v>2012</v>
      </c>
      <c r="I1435" t="s">
        <v>14</v>
      </c>
      <c r="J1435" t="s">
        <v>15</v>
      </c>
    </row>
    <row r="1436" spans="1:10">
      <c r="A1436" s="2" t="str">
        <f>"1433"</f>
        <v>1433</v>
      </c>
      <c r="B1436" s="2" t="s">
        <v>9</v>
      </c>
      <c r="C1436" s="2" t="str">
        <f>"1 (1)"</f>
        <v>1 (1)</v>
      </c>
      <c r="D1436" s="2" t="s">
        <v>4750</v>
      </c>
      <c r="E1436" s="5" t="s">
        <v>4751</v>
      </c>
      <c r="F1436" s="3" t="s">
        <v>4752</v>
      </c>
      <c r="G1436" s="3" t="s">
        <v>4753</v>
      </c>
      <c r="H1436" s="2" t="str">
        <f>"2013"</f>
        <v>2013</v>
      </c>
      <c r="I1436" t="s">
        <v>14</v>
      </c>
      <c r="J1436" t="s">
        <v>15</v>
      </c>
    </row>
    <row r="1437" spans="1:10">
      <c r="A1437" s="2" t="str">
        <f>"1434"</f>
        <v>1434</v>
      </c>
      <c r="B1437" s="2" t="s">
        <v>9</v>
      </c>
      <c r="C1437" s="2" t="str">
        <f>"1 (1)"</f>
        <v>1 (1)</v>
      </c>
      <c r="D1437" s="2" t="s">
        <v>4754</v>
      </c>
      <c r="E1437" s="5" t="s">
        <v>4755</v>
      </c>
      <c r="F1437" s="3" t="s">
        <v>4756</v>
      </c>
      <c r="G1437" s="3" t="s">
        <v>4757</v>
      </c>
      <c r="H1437" s="2" t="str">
        <f>"2013"</f>
        <v>2013</v>
      </c>
      <c r="I1437" t="s">
        <v>14</v>
      </c>
      <c r="J1437" t="s">
        <v>15</v>
      </c>
    </row>
    <row r="1438" spans="1:10">
      <c r="A1438" s="2" t="str">
        <f>"1435"</f>
        <v>1435</v>
      </c>
      <c r="B1438" s="2" t="s">
        <v>9</v>
      </c>
      <c r="C1438" s="2" t="str">
        <f>"1 (1)"</f>
        <v>1 (1)</v>
      </c>
      <c r="D1438" s="2" t="s">
        <v>4758</v>
      </c>
      <c r="E1438" s="5" t="s">
        <v>4759</v>
      </c>
      <c r="F1438" s="3" t="s">
        <v>4760</v>
      </c>
      <c r="G1438" s="3" t="s">
        <v>4761</v>
      </c>
      <c r="H1438" s="2" t="str">
        <f>"2013"</f>
        <v>2013</v>
      </c>
      <c r="I1438" t="s">
        <v>14</v>
      </c>
      <c r="J1438" t="s">
        <v>15</v>
      </c>
    </row>
    <row r="1439" spans="1:10">
      <c r="A1439" s="2" t="str">
        <f>"1436"</f>
        <v>1436</v>
      </c>
      <c r="B1439" s="2" t="s">
        <v>9</v>
      </c>
      <c r="C1439" s="2" t="str">
        <f>"1 (1)"</f>
        <v>1 (1)</v>
      </c>
      <c r="D1439" s="2" t="s">
        <v>4762</v>
      </c>
      <c r="E1439" s="5" t="s">
        <v>4763</v>
      </c>
      <c r="F1439" s="3" t="s">
        <v>4764</v>
      </c>
      <c r="G1439" s="3" t="s">
        <v>3012</v>
      </c>
      <c r="H1439" s="2" t="str">
        <f>"2012"</f>
        <v>2012</v>
      </c>
      <c r="I1439" t="s">
        <v>14</v>
      </c>
      <c r="J1439" t="s">
        <v>15</v>
      </c>
    </row>
    <row r="1440" spans="1:10">
      <c r="A1440" s="2" t="str">
        <f>"1437"</f>
        <v>1437</v>
      </c>
      <c r="B1440" s="2" t="s">
        <v>9</v>
      </c>
      <c r="C1440" s="2" t="str">
        <f>"1 (1)"</f>
        <v>1 (1)</v>
      </c>
      <c r="D1440" s="2" t="s">
        <v>4765</v>
      </c>
      <c r="E1440" s="5" t="s">
        <v>4766</v>
      </c>
      <c r="F1440" s="3" t="s">
        <v>4767</v>
      </c>
      <c r="G1440" s="3" t="s">
        <v>4768</v>
      </c>
      <c r="H1440" s="2" t="str">
        <f>"2013"</f>
        <v>2013</v>
      </c>
      <c r="I1440" t="s">
        <v>14</v>
      </c>
      <c r="J1440" t="s">
        <v>15</v>
      </c>
    </row>
    <row r="1441" spans="1:10">
      <c r="A1441" s="2" t="str">
        <f>"1438"</f>
        <v>1438</v>
      </c>
      <c r="B1441" s="2" t="s">
        <v>9</v>
      </c>
      <c r="C1441" s="2" t="str">
        <f>"1 (1)"</f>
        <v>1 (1)</v>
      </c>
      <c r="D1441" s="2" t="s">
        <v>4769</v>
      </c>
      <c r="E1441" s="5" t="s">
        <v>4770</v>
      </c>
      <c r="F1441" s="3" t="s">
        <v>4771</v>
      </c>
      <c r="G1441" s="3" t="s">
        <v>3826</v>
      </c>
      <c r="H1441" s="2" t="str">
        <f>"2013"</f>
        <v>2013</v>
      </c>
      <c r="I1441" t="s">
        <v>14</v>
      </c>
      <c r="J1441" t="s">
        <v>15</v>
      </c>
    </row>
    <row r="1442" spans="1:10">
      <c r="A1442" s="2" t="str">
        <f>"1439"</f>
        <v>1439</v>
      </c>
      <c r="B1442" s="2" t="s">
        <v>9</v>
      </c>
      <c r="C1442" s="2" t="str">
        <f>"1 (1)"</f>
        <v>1 (1)</v>
      </c>
      <c r="D1442" s="2" t="s">
        <v>4772</v>
      </c>
      <c r="E1442" s="5" t="s">
        <v>4773</v>
      </c>
      <c r="F1442" s="3" t="s">
        <v>4774</v>
      </c>
      <c r="G1442" s="3" t="s">
        <v>4357</v>
      </c>
      <c r="H1442" s="2" t="str">
        <f>"2013"</f>
        <v>2013</v>
      </c>
      <c r="I1442" t="s">
        <v>14</v>
      </c>
      <c r="J1442" t="s">
        <v>15</v>
      </c>
    </row>
    <row r="1443" spans="1:10">
      <c r="A1443" s="2" t="str">
        <f>"1440"</f>
        <v>1440</v>
      </c>
      <c r="B1443" s="2" t="s">
        <v>9</v>
      </c>
      <c r="C1443" s="2" t="str">
        <f>"1 (1)"</f>
        <v>1 (1)</v>
      </c>
      <c r="D1443" s="2" t="s">
        <v>4775</v>
      </c>
      <c r="E1443" s="5" t="s">
        <v>4776</v>
      </c>
      <c r="F1443" s="3" t="s">
        <v>4777</v>
      </c>
      <c r="G1443" s="3" t="s">
        <v>4451</v>
      </c>
      <c r="H1443" s="2" t="str">
        <f>"2013"</f>
        <v>2013</v>
      </c>
      <c r="I1443" t="s">
        <v>14</v>
      </c>
      <c r="J1443" t="s">
        <v>15</v>
      </c>
    </row>
    <row r="1444" spans="1:10">
      <c r="A1444" s="2" t="str">
        <f>"1441"</f>
        <v>1441</v>
      </c>
      <c r="B1444" s="2" t="s">
        <v>9</v>
      </c>
      <c r="C1444" s="2" t="str">
        <f>"1 (1)"</f>
        <v>1 (1)</v>
      </c>
      <c r="D1444" s="2" t="s">
        <v>4778</v>
      </c>
      <c r="E1444" s="5" t="s">
        <v>4779</v>
      </c>
      <c r="F1444" s="3" t="s">
        <v>4780</v>
      </c>
      <c r="G1444" s="3" t="s">
        <v>4781</v>
      </c>
      <c r="H1444" s="2" t="str">
        <f>"2012"</f>
        <v>2012</v>
      </c>
      <c r="I1444" t="s">
        <v>14</v>
      </c>
      <c r="J1444" t="s">
        <v>15</v>
      </c>
    </row>
    <row r="1445" spans="1:10">
      <c r="A1445" s="2" t="str">
        <f>"1442"</f>
        <v>1442</v>
      </c>
      <c r="B1445" s="2" t="s">
        <v>9</v>
      </c>
      <c r="C1445" s="2" t="str">
        <f>"1 (1)"</f>
        <v>1 (1)</v>
      </c>
      <c r="D1445" s="2" t="s">
        <v>4782</v>
      </c>
      <c r="E1445" s="5" t="s">
        <v>4783</v>
      </c>
      <c r="F1445" s="3" t="s">
        <v>4784</v>
      </c>
      <c r="G1445" s="3" t="s">
        <v>4785</v>
      </c>
      <c r="H1445" s="2" t="str">
        <f>"2013"</f>
        <v>2013</v>
      </c>
      <c r="I1445" t="s">
        <v>14</v>
      </c>
      <c r="J1445" t="s">
        <v>15</v>
      </c>
    </row>
    <row r="1446" spans="1:10">
      <c r="A1446" s="2" t="str">
        <f>"1443"</f>
        <v>1443</v>
      </c>
      <c r="B1446" s="2" t="s">
        <v>9</v>
      </c>
      <c r="C1446" s="2" t="str">
        <f>"1 (1)"</f>
        <v>1 (1)</v>
      </c>
      <c r="D1446" s="2" t="s">
        <v>4786</v>
      </c>
      <c r="E1446" s="5" t="s">
        <v>4787</v>
      </c>
      <c r="F1446" s="3" t="s">
        <v>4788</v>
      </c>
      <c r="G1446" s="3" t="s">
        <v>1945</v>
      </c>
      <c r="H1446" s="2" t="str">
        <f>"2013"</f>
        <v>2013</v>
      </c>
      <c r="I1446" t="s">
        <v>14</v>
      </c>
      <c r="J1446" t="s">
        <v>15</v>
      </c>
    </row>
    <row r="1447" spans="1:10">
      <c r="A1447" s="2" t="str">
        <f>"1444"</f>
        <v>1444</v>
      </c>
      <c r="B1447" s="2" t="s">
        <v>9</v>
      </c>
      <c r="C1447" s="2" t="str">
        <f>"1 (1)"</f>
        <v>1 (1)</v>
      </c>
      <c r="D1447" s="2" t="s">
        <v>4789</v>
      </c>
      <c r="E1447" s="5" t="s">
        <v>4790</v>
      </c>
      <c r="F1447" s="3" t="s">
        <v>4791</v>
      </c>
      <c r="G1447" s="3" t="s">
        <v>4792</v>
      </c>
      <c r="H1447" s="2" t="str">
        <f>"2013"</f>
        <v>2013</v>
      </c>
      <c r="I1447" t="s">
        <v>14</v>
      </c>
      <c r="J1447" t="s">
        <v>15</v>
      </c>
    </row>
    <row r="1448" spans="1:10">
      <c r="A1448" s="2" t="str">
        <f>"1445"</f>
        <v>1445</v>
      </c>
      <c r="B1448" s="2" t="s">
        <v>9</v>
      </c>
      <c r="C1448" s="2" t="str">
        <f>"1 (1)"</f>
        <v>1 (1)</v>
      </c>
      <c r="D1448" s="2" t="s">
        <v>4793</v>
      </c>
      <c r="E1448" s="5" t="s">
        <v>4794</v>
      </c>
      <c r="F1448" s="3" t="s">
        <v>4795</v>
      </c>
      <c r="G1448" s="3" t="s">
        <v>4796</v>
      </c>
      <c r="H1448" s="2" t="str">
        <f>"2013"</f>
        <v>2013</v>
      </c>
      <c r="I1448" t="s">
        <v>14</v>
      </c>
      <c r="J1448" t="s">
        <v>15</v>
      </c>
    </row>
    <row r="1449" spans="1:10">
      <c r="A1449" s="2" t="str">
        <f>"1446"</f>
        <v>1446</v>
      </c>
      <c r="B1449" s="2" t="s">
        <v>9</v>
      </c>
      <c r="C1449" s="2" t="str">
        <f>"1 (1)"</f>
        <v>1 (1)</v>
      </c>
      <c r="D1449" s="2" t="s">
        <v>4797</v>
      </c>
      <c r="E1449" s="5" t="s">
        <v>4798</v>
      </c>
      <c r="F1449" s="3" t="s">
        <v>4799</v>
      </c>
      <c r="G1449" s="3" t="s">
        <v>4800</v>
      </c>
      <c r="H1449" s="2" t="str">
        <f>"2013"</f>
        <v>2013</v>
      </c>
      <c r="I1449" t="s">
        <v>14</v>
      </c>
      <c r="J1449" t="s">
        <v>15</v>
      </c>
    </row>
    <row r="1450" spans="1:10">
      <c r="A1450" s="2" t="str">
        <f>"1447"</f>
        <v>1447</v>
      </c>
      <c r="B1450" s="2" t="s">
        <v>9</v>
      </c>
      <c r="C1450" s="2" t="str">
        <f>"1 (1)"</f>
        <v>1 (1)</v>
      </c>
      <c r="D1450" s="2" t="s">
        <v>4801</v>
      </c>
      <c r="E1450" s="5" t="s">
        <v>4802</v>
      </c>
      <c r="F1450" s="3" t="s">
        <v>4803</v>
      </c>
      <c r="G1450" s="3" t="s">
        <v>4658</v>
      </c>
      <c r="H1450" s="2" t="str">
        <f>"2013"</f>
        <v>2013</v>
      </c>
      <c r="I1450" t="s">
        <v>14</v>
      </c>
      <c r="J1450" t="s">
        <v>15</v>
      </c>
    </row>
    <row r="1451" spans="1:10">
      <c r="A1451" s="2" t="str">
        <f>"1448"</f>
        <v>1448</v>
      </c>
      <c r="B1451" s="2" t="s">
        <v>9</v>
      </c>
      <c r="C1451" s="2" t="str">
        <f>"1 (1)"</f>
        <v>1 (1)</v>
      </c>
      <c r="D1451" s="2" t="s">
        <v>4804</v>
      </c>
      <c r="E1451" s="5" t="s">
        <v>4805</v>
      </c>
      <c r="F1451" s="3" t="s">
        <v>4806</v>
      </c>
      <c r="G1451" s="3" t="s">
        <v>4807</v>
      </c>
      <c r="H1451" s="2" t="str">
        <f>"2013"</f>
        <v>2013</v>
      </c>
      <c r="I1451" t="s">
        <v>14</v>
      </c>
      <c r="J1451" t="s">
        <v>15</v>
      </c>
    </row>
    <row r="1452" spans="1:10">
      <c r="A1452" s="2" t="str">
        <f>"1449"</f>
        <v>1449</v>
      </c>
      <c r="B1452" s="2" t="s">
        <v>9</v>
      </c>
      <c r="C1452" s="2" t="str">
        <f>"1 (1)"</f>
        <v>1 (1)</v>
      </c>
      <c r="D1452" s="2" t="s">
        <v>4808</v>
      </c>
      <c r="E1452" s="5" t="s">
        <v>4809</v>
      </c>
      <c r="F1452" s="3" t="s">
        <v>4810</v>
      </c>
      <c r="G1452" s="3" t="s">
        <v>2438</v>
      </c>
      <c r="H1452" s="2" t="str">
        <f>"2013"</f>
        <v>2013</v>
      </c>
      <c r="I1452" t="s">
        <v>14</v>
      </c>
      <c r="J1452" t="s">
        <v>15</v>
      </c>
    </row>
    <row r="1453" spans="1:10">
      <c r="A1453" s="2" t="str">
        <f>"1450"</f>
        <v>1450</v>
      </c>
      <c r="B1453" s="2" t="s">
        <v>9</v>
      </c>
      <c r="C1453" s="2" t="str">
        <f>"1 (1)"</f>
        <v>1 (1)</v>
      </c>
      <c r="D1453" s="2" t="s">
        <v>4811</v>
      </c>
      <c r="E1453" s="5" t="s">
        <v>4812</v>
      </c>
      <c r="F1453" s="3" t="s">
        <v>4813</v>
      </c>
      <c r="G1453" s="3" t="s">
        <v>4814</v>
      </c>
      <c r="H1453" s="2" t="str">
        <f>"2013"</f>
        <v>2013</v>
      </c>
      <c r="I1453" t="s">
        <v>14</v>
      </c>
      <c r="J1453" t="s">
        <v>15</v>
      </c>
    </row>
    <row r="1454" spans="1:10">
      <c r="A1454" s="2" t="str">
        <f>"1451"</f>
        <v>1451</v>
      </c>
      <c r="B1454" s="2" t="s">
        <v>9</v>
      </c>
      <c r="C1454" s="2" t="str">
        <f>"1 (1)"</f>
        <v>1 (1)</v>
      </c>
      <c r="D1454" s="2" t="s">
        <v>4815</v>
      </c>
      <c r="E1454" s="5" t="s">
        <v>4816</v>
      </c>
      <c r="F1454" s="3" t="s">
        <v>4817</v>
      </c>
      <c r="G1454" s="3" t="s">
        <v>4818</v>
      </c>
      <c r="H1454" s="2" t="str">
        <f>"2013"</f>
        <v>2013</v>
      </c>
      <c r="I1454" t="s">
        <v>14</v>
      </c>
      <c r="J1454" t="s">
        <v>15</v>
      </c>
    </row>
    <row r="1455" spans="1:10">
      <c r="A1455" s="2" t="str">
        <f>"1452"</f>
        <v>1452</v>
      </c>
      <c r="B1455" s="2" t="s">
        <v>9</v>
      </c>
      <c r="C1455" s="2" t="str">
        <f>"1 (1)"</f>
        <v>1 (1)</v>
      </c>
      <c r="D1455" s="2" t="s">
        <v>4819</v>
      </c>
      <c r="E1455" s="5" t="s">
        <v>4820</v>
      </c>
      <c r="F1455" s="3" t="s">
        <v>4821</v>
      </c>
      <c r="G1455" s="3" t="s">
        <v>4822</v>
      </c>
      <c r="H1455" s="2" t="str">
        <f>"2013"</f>
        <v>2013</v>
      </c>
      <c r="I1455" t="s">
        <v>14</v>
      </c>
      <c r="J1455" t="s">
        <v>15</v>
      </c>
    </row>
    <row r="1456" spans="1:10">
      <c r="A1456" s="2" t="str">
        <f>"1453"</f>
        <v>1453</v>
      </c>
      <c r="B1456" s="2" t="s">
        <v>9</v>
      </c>
      <c r="C1456" s="2" t="str">
        <f>"1 (1)"</f>
        <v>1 (1)</v>
      </c>
      <c r="D1456" s="2" t="s">
        <v>4823</v>
      </c>
      <c r="E1456" s="5" t="s">
        <v>4824</v>
      </c>
      <c r="F1456" s="3" t="s">
        <v>2749</v>
      </c>
      <c r="G1456" s="3" t="s">
        <v>4825</v>
      </c>
      <c r="H1456" s="2" t="str">
        <f>"2012"</f>
        <v>2012</v>
      </c>
      <c r="I1456" t="s">
        <v>14</v>
      </c>
      <c r="J1456" t="s">
        <v>15</v>
      </c>
    </row>
    <row r="1457" spans="1:10">
      <c r="A1457" s="2" t="str">
        <f>"1454"</f>
        <v>1454</v>
      </c>
      <c r="B1457" s="2" t="s">
        <v>9</v>
      </c>
      <c r="C1457" s="2" t="str">
        <f>"1 (1)"</f>
        <v>1 (1)</v>
      </c>
      <c r="D1457" s="2" t="s">
        <v>4826</v>
      </c>
      <c r="E1457" s="5" t="s">
        <v>4827</v>
      </c>
      <c r="F1457" s="3" t="s">
        <v>4828</v>
      </c>
      <c r="G1457" s="3" t="s">
        <v>4829</v>
      </c>
      <c r="H1457" s="2" t="str">
        <f>"2013"</f>
        <v>2013</v>
      </c>
      <c r="I1457" t="s">
        <v>14</v>
      </c>
      <c r="J1457" t="s">
        <v>15</v>
      </c>
    </row>
    <row r="1458" spans="1:10">
      <c r="A1458" s="2" t="str">
        <f>"1455"</f>
        <v>1455</v>
      </c>
      <c r="B1458" s="2" t="s">
        <v>9</v>
      </c>
      <c r="C1458" s="2" t="str">
        <f>"1 (1)"</f>
        <v>1 (1)</v>
      </c>
      <c r="D1458" s="2" t="s">
        <v>4830</v>
      </c>
      <c r="E1458" s="5" t="s">
        <v>4831</v>
      </c>
      <c r="F1458" s="3" t="s">
        <v>4832</v>
      </c>
      <c r="G1458" s="3" t="s">
        <v>4833</v>
      </c>
      <c r="H1458" s="2" t="str">
        <f>"2013"</f>
        <v>2013</v>
      </c>
      <c r="I1458" t="s">
        <v>14</v>
      </c>
      <c r="J1458" t="s">
        <v>15</v>
      </c>
    </row>
    <row r="1459" spans="1:10">
      <c r="A1459" s="2" t="str">
        <f>"1456"</f>
        <v>1456</v>
      </c>
      <c r="B1459" s="2" t="s">
        <v>9</v>
      </c>
      <c r="C1459" s="2" t="str">
        <f>"1 (1)"</f>
        <v>1 (1)</v>
      </c>
      <c r="D1459" s="2" t="s">
        <v>4834</v>
      </c>
      <c r="E1459" s="5" t="s">
        <v>4835</v>
      </c>
      <c r="F1459" s="3" t="s">
        <v>4836</v>
      </c>
      <c r="G1459" s="3" t="s">
        <v>4394</v>
      </c>
      <c r="H1459" s="2" t="str">
        <f>"2013"</f>
        <v>2013</v>
      </c>
      <c r="I1459" t="s">
        <v>14</v>
      </c>
      <c r="J1459" t="s">
        <v>15</v>
      </c>
    </row>
    <row r="1460" spans="1:10">
      <c r="A1460" s="2" t="str">
        <f>"1457"</f>
        <v>1457</v>
      </c>
      <c r="B1460" s="2" t="s">
        <v>9</v>
      </c>
      <c r="C1460" s="2" t="str">
        <f>"1 (1)"</f>
        <v>1 (1)</v>
      </c>
      <c r="D1460" s="2" t="s">
        <v>4837</v>
      </c>
      <c r="E1460" s="5" t="s">
        <v>4838</v>
      </c>
      <c r="F1460" s="3" t="s">
        <v>4839</v>
      </c>
      <c r="G1460" s="3" t="s">
        <v>4840</v>
      </c>
      <c r="H1460" s="2" t="str">
        <f>"2013"</f>
        <v>2013</v>
      </c>
      <c r="I1460" t="s">
        <v>14</v>
      </c>
      <c r="J1460" t="s">
        <v>15</v>
      </c>
    </row>
    <row r="1461" spans="1:10">
      <c r="A1461" s="2" t="str">
        <f>"1458"</f>
        <v>1458</v>
      </c>
      <c r="B1461" s="2" t="s">
        <v>9</v>
      </c>
      <c r="C1461" s="2" t="str">
        <f>"1 (1)"</f>
        <v>1 (1)</v>
      </c>
      <c r="D1461" s="2" t="s">
        <v>4841</v>
      </c>
      <c r="E1461" s="5" t="s">
        <v>4842</v>
      </c>
      <c r="F1461" s="3" t="s">
        <v>4843</v>
      </c>
      <c r="G1461" s="3" t="s">
        <v>4844</v>
      </c>
      <c r="H1461" s="2" t="str">
        <f>"2013"</f>
        <v>2013</v>
      </c>
      <c r="I1461" t="s">
        <v>14</v>
      </c>
      <c r="J1461" t="s">
        <v>15</v>
      </c>
    </row>
    <row r="1462" spans="1:10">
      <c r="A1462" s="2" t="str">
        <f>"1459"</f>
        <v>1459</v>
      </c>
      <c r="B1462" s="2" t="s">
        <v>9</v>
      </c>
      <c r="C1462" s="2" t="str">
        <f>"1 (1)"</f>
        <v>1 (1)</v>
      </c>
      <c r="D1462" s="2" t="s">
        <v>4845</v>
      </c>
      <c r="E1462" s="5" t="s">
        <v>4846</v>
      </c>
      <c r="F1462" s="3" t="s">
        <v>4847</v>
      </c>
      <c r="G1462" s="3" t="s">
        <v>4848</v>
      </c>
      <c r="H1462" s="2" t="str">
        <f>"2013"</f>
        <v>2013</v>
      </c>
      <c r="I1462" t="s">
        <v>14</v>
      </c>
      <c r="J1462" t="s">
        <v>15</v>
      </c>
    </row>
    <row r="1463" spans="1:10">
      <c r="A1463" s="2" t="str">
        <f>"1460"</f>
        <v>1460</v>
      </c>
      <c r="B1463" s="2" t="s">
        <v>9</v>
      </c>
      <c r="C1463" s="2" t="str">
        <f>"1 (1)"</f>
        <v>1 (1)</v>
      </c>
      <c r="D1463" s="2" t="s">
        <v>4849</v>
      </c>
      <c r="E1463" s="5" t="s">
        <v>4850</v>
      </c>
      <c r="F1463" s="3" t="s">
        <v>4851</v>
      </c>
      <c r="G1463" s="3" t="s">
        <v>4852</v>
      </c>
      <c r="H1463" s="2" t="str">
        <f>"2013"</f>
        <v>2013</v>
      </c>
      <c r="I1463" t="s">
        <v>14</v>
      </c>
      <c r="J1463" t="s">
        <v>15</v>
      </c>
    </row>
    <row r="1464" spans="1:10">
      <c r="A1464" s="2" t="str">
        <f>"1461"</f>
        <v>1461</v>
      </c>
      <c r="B1464" s="2" t="s">
        <v>9</v>
      </c>
      <c r="C1464" s="2" t="str">
        <f>"1 (1)"</f>
        <v>1 (1)</v>
      </c>
      <c r="D1464" s="2" t="s">
        <v>4853</v>
      </c>
      <c r="E1464" s="5" t="s">
        <v>4854</v>
      </c>
      <c r="F1464" s="3" t="s">
        <v>4855</v>
      </c>
      <c r="G1464" s="3" t="s">
        <v>2140</v>
      </c>
      <c r="H1464" s="2" t="str">
        <f>"2012"</f>
        <v>2012</v>
      </c>
      <c r="I1464" t="s">
        <v>14</v>
      </c>
      <c r="J1464" t="s">
        <v>15</v>
      </c>
    </row>
    <row r="1465" spans="1:10">
      <c r="A1465" s="2" t="str">
        <f>"1462"</f>
        <v>1462</v>
      </c>
      <c r="B1465" s="2" t="s">
        <v>9</v>
      </c>
      <c r="C1465" s="2" t="str">
        <f>"1 (1)"</f>
        <v>1 (1)</v>
      </c>
      <c r="D1465" s="2" t="s">
        <v>4856</v>
      </c>
      <c r="E1465" s="5" t="s">
        <v>4854</v>
      </c>
      <c r="F1465" s="3" t="s">
        <v>4855</v>
      </c>
      <c r="G1465" s="3" t="s">
        <v>2140</v>
      </c>
      <c r="H1465" s="2" t="str">
        <f>"2012"</f>
        <v>2012</v>
      </c>
      <c r="I1465" t="s">
        <v>14</v>
      </c>
      <c r="J1465" t="s">
        <v>15</v>
      </c>
    </row>
    <row r="1466" spans="1:10">
      <c r="A1466" s="2" t="str">
        <f>"1463"</f>
        <v>1463</v>
      </c>
      <c r="B1466" s="2" t="s">
        <v>9</v>
      </c>
      <c r="C1466" s="2" t="str">
        <f>"1 (1)"</f>
        <v>1 (1)</v>
      </c>
      <c r="D1466" s="2" t="s">
        <v>4857</v>
      </c>
      <c r="E1466" s="5" t="s">
        <v>4858</v>
      </c>
      <c r="F1466" s="3" t="s">
        <v>4859</v>
      </c>
      <c r="G1466" s="3" t="s">
        <v>443</v>
      </c>
      <c r="H1466" s="2" t="str">
        <f>"2012"</f>
        <v>2012</v>
      </c>
      <c r="I1466" t="s">
        <v>14</v>
      </c>
      <c r="J1466" t="s">
        <v>15</v>
      </c>
    </row>
    <row r="1467" spans="1:10">
      <c r="A1467" s="2" t="str">
        <f>"1464"</f>
        <v>1464</v>
      </c>
      <c r="B1467" s="2" t="s">
        <v>9</v>
      </c>
      <c r="C1467" s="2" t="str">
        <f>"1 (1)"</f>
        <v>1 (1)</v>
      </c>
      <c r="D1467" s="2" t="s">
        <v>4860</v>
      </c>
      <c r="E1467" s="5" t="s">
        <v>4861</v>
      </c>
      <c r="F1467" s="3" t="s">
        <v>4862</v>
      </c>
      <c r="G1467" s="3" t="s">
        <v>1010</v>
      </c>
      <c r="H1467" s="2" t="str">
        <f>"2013"</f>
        <v>2013</v>
      </c>
      <c r="I1467" t="s">
        <v>14</v>
      </c>
      <c r="J1467" t="s">
        <v>15</v>
      </c>
    </row>
    <row r="1468" spans="1:10">
      <c r="A1468" s="2" t="str">
        <f>"1465"</f>
        <v>1465</v>
      </c>
      <c r="B1468" s="2" t="s">
        <v>9</v>
      </c>
      <c r="C1468" s="2" t="str">
        <f>"1 (1)"</f>
        <v>1 (1)</v>
      </c>
      <c r="D1468" s="2" t="s">
        <v>4863</v>
      </c>
      <c r="E1468" s="5" t="s">
        <v>4864</v>
      </c>
      <c r="F1468" s="3" t="s">
        <v>4865</v>
      </c>
      <c r="G1468" s="3" t="s">
        <v>4866</v>
      </c>
      <c r="H1468" s="2" t="str">
        <f>"2013"</f>
        <v>2013</v>
      </c>
      <c r="I1468" t="s">
        <v>14</v>
      </c>
      <c r="J1468" t="s">
        <v>15</v>
      </c>
    </row>
    <row r="1469" spans="1:10">
      <c r="A1469" s="2" t="str">
        <f>"1466"</f>
        <v>1466</v>
      </c>
      <c r="B1469" s="2" t="s">
        <v>9</v>
      </c>
      <c r="C1469" s="2" t="str">
        <f>"1 (1)"</f>
        <v>1 (1)</v>
      </c>
      <c r="D1469" s="2" t="s">
        <v>4867</v>
      </c>
      <c r="E1469" s="5" t="s">
        <v>4868</v>
      </c>
      <c r="F1469" s="3" t="s">
        <v>4869</v>
      </c>
      <c r="G1469" s="3" t="s">
        <v>4021</v>
      </c>
      <c r="H1469" s="2" t="str">
        <f>"2012"</f>
        <v>2012</v>
      </c>
      <c r="I1469" t="s">
        <v>14</v>
      </c>
      <c r="J1469" t="s">
        <v>15</v>
      </c>
    </row>
    <row r="1470" spans="1:10">
      <c r="A1470" s="2" t="str">
        <f>"1467"</f>
        <v>1467</v>
      </c>
      <c r="B1470" s="2" t="s">
        <v>9</v>
      </c>
      <c r="C1470" s="2" t="str">
        <f>"1 (1)"</f>
        <v>1 (1)</v>
      </c>
      <c r="D1470" s="2" t="s">
        <v>4870</v>
      </c>
      <c r="E1470" s="5" t="s">
        <v>4871</v>
      </c>
      <c r="F1470" s="3" t="s">
        <v>4872</v>
      </c>
      <c r="G1470" s="3" t="s">
        <v>4873</v>
      </c>
      <c r="H1470" s="2" t="str">
        <f>"2013"</f>
        <v>2013</v>
      </c>
      <c r="I1470" t="s">
        <v>14</v>
      </c>
      <c r="J1470" t="s">
        <v>15</v>
      </c>
    </row>
    <row r="1471" spans="1:10">
      <c r="A1471" s="2" t="str">
        <f>"1468"</f>
        <v>1468</v>
      </c>
      <c r="B1471" s="2" t="s">
        <v>9</v>
      </c>
      <c r="C1471" s="2" t="str">
        <f>"1 (1)"</f>
        <v>1 (1)</v>
      </c>
      <c r="D1471" s="2" t="s">
        <v>4874</v>
      </c>
      <c r="E1471" s="5" t="s">
        <v>4875</v>
      </c>
      <c r="F1471" s="3" t="s">
        <v>4876</v>
      </c>
      <c r="G1471" s="3" t="s">
        <v>3755</v>
      </c>
      <c r="H1471" s="2" t="str">
        <f>"2013"</f>
        <v>2013</v>
      </c>
      <c r="I1471" t="s">
        <v>14</v>
      </c>
      <c r="J1471" t="s">
        <v>15</v>
      </c>
    </row>
    <row r="1472" spans="1:10">
      <c r="A1472" s="2" t="str">
        <f>"1469"</f>
        <v>1469</v>
      </c>
      <c r="B1472" s="2" t="s">
        <v>9</v>
      </c>
      <c r="C1472" s="2" t="str">
        <f>"1 (1)"</f>
        <v>1 (1)</v>
      </c>
      <c r="D1472" s="2" t="s">
        <v>4877</v>
      </c>
      <c r="E1472" s="5" t="s">
        <v>4878</v>
      </c>
      <c r="F1472" s="3" t="s">
        <v>4879</v>
      </c>
      <c r="G1472" s="3" t="s">
        <v>2742</v>
      </c>
      <c r="H1472" s="2" t="str">
        <f>"2012"</f>
        <v>2012</v>
      </c>
      <c r="I1472" t="s">
        <v>14</v>
      </c>
      <c r="J1472" t="s">
        <v>15</v>
      </c>
    </row>
    <row r="1473" spans="1:10">
      <c r="A1473" s="2" t="str">
        <f>"1470"</f>
        <v>1470</v>
      </c>
      <c r="B1473" s="2" t="s">
        <v>9</v>
      </c>
      <c r="C1473" s="2" t="str">
        <f>"1 (1)"</f>
        <v>1 (1)</v>
      </c>
      <c r="D1473" s="2" t="s">
        <v>4880</v>
      </c>
      <c r="E1473" s="5" t="s">
        <v>4881</v>
      </c>
      <c r="F1473" s="3" t="s">
        <v>4882</v>
      </c>
      <c r="G1473" s="3" t="s">
        <v>2144</v>
      </c>
      <c r="H1473" s="2" t="str">
        <f>"2013"</f>
        <v>2013</v>
      </c>
      <c r="I1473" t="s">
        <v>14</v>
      </c>
      <c r="J1473" t="s">
        <v>15</v>
      </c>
    </row>
    <row r="1474" spans="1:10">
      <c r="A1474" s="2" t="str">
        <f>"1471"</f>
        <v>1471</v>
      </c>
      <c r="B1474" s="2" t="s">
        <v>9</v>
      </c>
      <c r="C1474" s="2" t="str">
        <f>"1 (1)"</f>
        <v>1 (1)</v>
      </c>
      <c r="D1474" s="2" t="s">
        <v>4883</v>
      </c>
      <c r="E1474" s="5" t="s">
        <v>4884</v>
      </c>
      <c r="F1474" s="3" t="s">
        <v>4885</v>
      </c>
      <c r="G1474" s="3" t="s">
        <v>4886</v>
      </c>
      <c r="H1474" s="2" t="str">
        <f>"2013"</f>
        <v>2013</v>
      </c>
      <c r="I1474" t="s">
        <v>14</v>
      </c>
      <c r="J1474" t="s">
        <v>15</v>
      </c>
    </row>
    <row r="1475" spans="1:10">
      <c r="A1475" s="2" t="str">
        <f>"1472"</f>
        <v>1472</v>
      </c>
      <c r="B1475" s="2" t="s">
        <v>9</v>
      </c>
      <c r="C1475" s="2" t="str">
        <f>"1 (1)"</f>
        <v>1 (1)</v>
      </c>
      <c r="D1475" s="2" t="s">
        <v>4887</v>
      </c>
      <c r="E1475" s="5" t="s">
        <v>4888</v>
      </c>
      <c r="F1475" s="3" t="s">
        <v>4889</v>
      </c>
      <c r="G1475" s="3" t="s">
        <v>4890</v>
      </c>
      <c r="H1475" s="2" t="str">
        <f>"2013"</f>
        <v>2013</v>
      </c>
      <c r="I1475" t="s">
        <v>14</v>
      </c>
      <c r="J1475" t="s">
        <v>15</v>
      </c>
    </row>
    <row r="1476" spans="1:10">
      <c r="A1476" s="2" t="str">
        <f>"1473"</f>
        <v>1473</v>
      </c>
      <c r="B1476" s="2" t="s">
        <v>9</v>
      </c>
      <c r="C1476" s="2" t="str">
        <f>"1 (1)"</f>
        <v>1 (1)</v>
      </c>
      <c r="D1476" s="2" t="s">
        <v>4891</v>
      </c>
      <c r="E1476" s="5" t="s">
        <v>4892</v>
      </c>
      <c r="F1476" s="3" t="s">
        <v>4893</v>
      </c>
      <c r="G1476" s="3" t="s">
        <v>2118</v>
      </c>
      <c r="H1476" s="2" t="str">
        <f>"2013"</f>
        <v>2013</v>
      </c>
      <c r="I1476" t="s">
        <v>14</v>
      </c>
      <c r="J1476" t="s">
        <v>15</v>
      </c>
    </row>
    <row r="1477" spans="1:10">
      <c r="A1477" s="2" t="str">
        <f>"1474"</f>
        <v>1474</v>
      </c>
      <c r="B1477" s="2" t="s">
        <v>9</v>
      </c>
      <c r="C1477" s="2" t="str">
        <f>"1 (1)"</f>
        <v>1 (1)</v>
      </c>
      <c r="D1477" s="2" t="s">
        <v>4894</v>
      </c>
      <c r="E1477" s="5" t="s">
        <v>4895</v>
      </c>
      <c r="F1477" s="3" t="s">
        <v>4896</v>
      </c>
      <c r="G1477" s="3" t="s">
        <v>443</v>
      </c>
      <c r="H1477" s="2" t="str">
        <f>"2013"</f>
        <v>2013</v>
      </c>
      <c r="I1477" t="s">
        <v>14</v>
      </c>
      <c r="J1477" t="s">
        <v>15</v>
      </c>
    </row>
    <row r="1478" spans="1:10">
      <c r="A1478" s="2" t="str">
        <f>"1475"</f>
        <v>1475</v>
      </c>
      <c r="B1478" s="2" t="s">
        <v>9</v>
      </c>
      <c r="C1478" s="2" t="str">
        <f>"1 (1)"</f>
        <v>1 (1)</v>
      </c>
      <c r="D1478" s="2" t="s">
        <v>4897</v>
      </c>
      <c r="E1478" s="5" t="s">
        <v>4898</v>
      </c>
      <c r="F1478" s="3" t="s">
        <v>4899</v>
      </c>
      <c r="G1478" s="3" t="s">
        <v>4484</v>
      </c>
      <c r="H1478" s="2" t="str">
        <f>"2013"</f>
        <v>2013</v>
      </c>
      <c r="I1478" t="s">
        <v>14</v>
      </c>
      <c r="J1478" t="s">
        <v>15</v>
      </c>
    </row>
    <row r="1479" spans="1:10">
      <c r="A1479" s="2" t="str">
        <f>"1476"</f>
        <v>1476</v>
      </c>
      <c r="B1479" s="2" t="s">
        <v>9</v>
      </c>
      <c r="C1479" s="2" t="str">
        <f>"1 (1)"</f>
        <v>1 (1)</v>
      </c>
      <c r="D1479" s="2" t="s">
        <v>4900</v>
      </c>
      <c r="E1479" s="5" t="s">
        <v>4901</v>
      </c>
      <c r="F1479" s="3" t="s">
        <v>4902</v>
      </c>
      <c r="G1479" s="3" t="s">
        <v>4903</v>
      </c>
      <c r="H1479" s="2" t="str">
        <f>"2013"</f>
        <v>2013</v>
      </c>
      <c r="I1479" t="s">
        <v>14</v>
      </c>
      <c r="J1479" t="s">
        <v>15</v>
      </c>
    </row>
    <row r="1480" spans="1:10">
      <c r="A1480" s="2" t="str">
        <f>"1477"</f>
        <v>1477</v>
      </c>
      <c r="B1480" s="2" t="s">
        <v>9</v>
      </c>
      <c r="C1480" s="2" t="str">
        <f>"1 (1)"</f>
        <v>1 (1)</v>
      </c>
      <c r="D1480" s="2" t="s">
        <v>4904</v>
      </c>
      <c r="E1480" s="5" t="s">
        <v>4905</v>
      </c>
      <c r="F1480" s="3" t="s">
        <v>4906</v>
      </c>
      <c r="G1480" s="3" t="s">
        <v>4907</v>
      </c>
      <c r="H1480" s="2" t="str">
        <f>"2012"</f>
        <v>2012</v>
      </c>
      <c r="I1480" t="s">
        <v>14</v>
      </c>
      <c r="J1480" t="s">
        <v>15</v>
      </c>
    </row>
    <row r="1481" spans="1:10">
      <c r="A1481" s="2" t="str">
        <f>"1478"</f>
        <v>1478</v>
      </c>
      <c r="B1481" s="2" t="s">
        <v>9</v>
      </c>
      <c r="C1481" s="2" t="str">
        <f>"1 (1)"</f>
        <v>1 (1)</v>
      </c>
      <c r="D1481" s="2" t="s">
        <v>4908</v>
      </c>
      <c r="E1481" s="5" t="s">
        <v>4909</v>
      </c>
      <c r="F1481" s="3" t="s">
        <v>4910</v>
      </c>
      <c r="G1481" s="3" t="s">
        <v>2438</v>
      </c>
      <c r="H1481" s="2" t="str">
        <f>"2013"</f>
        <v>2013</v>
      </c>
      <c r="I1481" t="s">
        <v>14</v>
      </c>
      <c r="J1481" t="s">
        <v>15</v>
      </c>
    </row>
    <row r="1482" spans="1:10">
      <c r="A1482" s="2" t="str">
        <f>"1479"</f>
        <v>1479</v>
      </c>
      <c r="B1482" s="2" t="s">
        <v>9</v>
      </c>
      <c r="C1482" s="2" t="str">
        <f>"1 (1)"</f>
        <v>1 (1)</v>
      </c>
      <c r="D1482" s="2" t="s">
        <v>4911</v>
      </c>
      <c r="E1482" s="5" t="s">
        <v>4912</v>
      </c>
      <c r="F1482" s="3" t="s">
        <v>4913</v>
      </c>
      <c r="G1482" s="3" t="s">
        <v>2438</v>
      </c>
      <c r="H1482" s="2" t="str">
        <f>"2013"</f>
        <v>2013</v>
      </c>
      <c r="I1482" t="s">
        <v>14</v>
      </c>
      <c r="J1482" t="s">
        <v>15</v>
      </c>
    </row>
    <row r="1483" spans="1:10">
      <c r="A1483" s="2" t="str">
        <f>"1480"</f>
        <v>1480</v>
      </c>
      <c r="B1483" s="2" t="s">
        <v>9</v>
      </c>
      <c r="C1483" s="2" t="str">
        <f>"1 (1)"</f>
        <v>1 (1)</v>
      </c>
      <c r="D1483" s="2" t="s">
        <v>4914</v>
      </c>
      <c r="E1483" s="5" t="s">
        <v>4915</v>
      </c>
      <c r="F1483" s="3" t="s">
        <v>4916</v>
      </c>
      <c r="G1483" s="3" t="s">
        <v>2438</v>
      </c>
      <c r="H1483" s="2" t="str">
        <f>"2013"</f>
        <v>2013</v>
      </c>
      <c r="I1483" t="s">
        <v>14</v>
      </c>
      <c r="J1483" t="s">
        <v>15</v>
      </c>
    </row>
    <row r="1484" spans="1:10">
      <c r="A1484" s="2" t="str">
        <f>"1481"</f>
        <v>1481</v>
      </c>
      <c r="B1484" s="2" t="s">
        <v>9</v>
      </c>
      <c r="C1484" s="2" t="str">
        <f>"1 (1)"</f>
        <v>1 (1)</v>
      </c>
      <c r="D1484" s="2" t="s">
        <v>4917</v>
      </c>
      <c r="E1484" s="5" t="s">
        <v>4918</v>
      </c>
      <c r="F1484" s="3" t="s">
        <v>4919</v>
      </c>
      <c r="G1484" s="3" t="s">
        <v>2438</v>
      </c>
      <c r="H1484" s="2" t="str">
        <f>"2013"</f>
        <v>2013</v>
      </c>
      <c r="I1484" t="s">
        <v>14</v>
      </c>
      <c r="J1484" t="s">
        <v>15</v>
      </c>
    </row>
    <row r="1485" spans="1:10">
      <c r="A1485" s="2" t="str">
        <f>"1482"</f>
        <v>1482</v>
      </c>
      <c r="B1485" s="2" t="s">
        <v>9</v>
      </c>
      <c r="C1485" s="2" t="str">
        <f>"1 (1)"</f>
        <v>1 (1)</v>
      </c>
      <c r="D1485" s="2" t="s">
        <v>4920</v>
      </c>
      <c r="E1485" s="5" t="s">
        <v>4921</v>
      </c>
      <c r="F1485" s="3" t="s">
        <v>4922</v>
      </c>
      <c r="G1485" s="3" t="s">
        <v>4923</v>
      </c>
      <c r="H1485" s="2" t="str">
        <f>"2012"</f>
        <v>2012</v>
      </c>
      <c r="I1485" t="s">
        <v>14</v>
      </c>
      <c r="J1485" t="s">
        <v>15</v>
      </c>
    </row>
    <row r="1486" spans="1:10">
      <c r="A1486" s="2" t="str">
        <f>"1483"</f>
        <v>1483</v>
      </c>
      <c r="B1486" s="2" t="s">
        <v>9</v>
      </c>
      <c r="C1486" s="2" t="str">
        <f>"1 (1)"</f>
        <v>1 (1)</v>
      </c>
      <c r="D1486" s="2" t="s">
        <v>4924</v>
      </c>
      <c r="E1486" s="5" t="s">
        <v>4925</v>
      </c>
      <c r="F1486" s="3" t="s">
        <v>4926</v>
      </c>
      <c r="G1486" s="3" t="s">
        <v>4927</v>
      </c>
      <c r="H1486" s="2" t="str">
        <f>"2013"</f>
        <v>2013</v>
      </c>
      <c r="I1486" t="s">
        <v>14</v>
      </c>
      <c r="J1486" t="s">
        <v>15</v>
      </c>
    </row>
    <row r="1487" spans="1:10">
      <c r="A1487" s="2" t="str">
        <f>"1484"</f>
        <v>1484</v>
      </c>
      <c r="B1487" s="2" t="s">
        <v>9</v>
      </c>
      <c r="C1487" s="2" t="str">
        <f>"1 (1)"</f>
        <v>1 (1)</v>
      </c>
      <c r="D1487" s="2" t="s">
        <v>4928</v>
      </c>
      <c r="E1487" s="5" t="s">
        <v>4929</v>
      </c>
      <c r="F1487" s="3" t="s">
        <v>4930</v>
      </c>
      <c r="G1487" s="3" t="s">
        <v>4931</v>
      </c>
      <c r="H1487" s="2" t="str">
        <f>"2012"</f>
        <v>2012</v>
      </c>
      <c r="I1487" t="s">
        <v>14</v>
      </c>
      <c r="J1487" t="s">
        <v>15</v>
      </c>
    </row>
    <row r="1488" spans="1:10">
      <c r="A1488" s="2" t="str">
        <f>"1485"</f>
        <v>1485</v>
      </c>
      <c r="B1488" s="2" t="s">
        <v>9</v>
      </c>
      <c r="C1488" s="2" t="str">
        <f>"1 (1)"</f>
        <v>1 (1)</v>
      </c>
      <c r="D1488" s="2" t="s">
        <v>4932</v>
      </c>
      <c r="E1488" s="5" t="s">
        <v>4933</v>
      </c>
      <c r="F1488" s="3" t="s">
        <v>4934</v>
      </c>
      <c r="G1488" s="3" t="s">
        <v>4935</v>
      </c>
      <c r="H1488" s="2" t="str">
        <f>"2013"</f>
        <v>2013</v>
      </c>
      <c r="I1488" t="s">
        <v>14</v>
      </c>
      <c r="J1488" t="s">
        <v>15</v>
      </c>
    </row>
    <row r="1489" spans="1:10">
      <c r="A1489" s="2" t="str">
        <f>"1486"</f>
        <v>1486</v>
      </c>
      <c r="B1489" s="2" t="s">
        <v>9</v>
      </c>
      <c r="C1489" s="2" t="str">
        <f>"1 (1)"</f>
        <v>1 (1)</v>
      </c>
      <c r="D1489" s="2" t="s">
        <v>4936</v>
      </c>
      <c r="E1489" s="5" t="s">
        <v>4937</v>
      </c>
      <c r="F1489" s="3" t="s">
        <v>4938</v>
      </c>
      <c r="G1489" s="3" t="s">
        <v>4500</v>
      </c>
      <c r="H1489" s="2" t="str">
        <f>"2013"</f>
        <v>2013</v>
      </c>
      <c r="I1489" t="s">
        <v>14</v>
      </c>
      <c r="J1489" t="s">
        <v>15</v>
      </c>
    </row>
    <row r="1490" spans="1:10">
      <c r="A1490" s="2" t="str">
        <f>"1487"</f>
        <v>1487</v>
      </c>
      <c r="B1490" s="2" t="s">
        <v>9</v>
      </c>
      <c r="C1490" s="2" t="str">
        <f>"1 (1)"</f>
        <v>1 (1)</v>
      </c>
      <c r="D1490" s="2" t="s">
        <v>4939</v>
      </c>
      <c r="E1490" s="5" t="s">
        <v>4940</v>
      </c>
      <c r="F1490" s="3" t="s">
        <v>4941</v>
      </c>
      <c r="G1490" s="3" t="s">
        <v>4285</v>
      </c>
      <c r="H1490" s="2" t="str">
        <f>"2013"</f>
        <v>2013</v>
      </c>
      <c r="I1490" t="s">
        <v>14</v>
      </c>
      <c r="J1490" t="s">
        <v>15</v>
      </c>
    </row>
    <row r="1491" spans="1:10">
      <c r="A1491" s="2" t="str">
        <f>"1488"</f>
        <v>1488</v>
      </c>
      <c r="B1491" s="2" t="s">
        <v>9</v>
      </c>
      <c r="C1491" s="2" t="str">
        <f>"1 (1)"</f>
        <v>1 (1)</v>
      </c>
      <c r="D1491" s="2" t="s">
        <v>4942</v>
      </c>
      <c r="E1491" s="5" t="s">
        <v>4943</v>
      </c>
      <c r="F1491" s="3" t="s">
        <v>4944</v>
      </c>
      <c r="G1491" s="3" t="s">
        <v>4945</v>
      </c>
      <c r="H1491" s="2" t="str">
        <f>"2013"</f>
        <v>2013</v>
      </c>
      <c r="I1491" t="s">
        <v>14</v>
      </c>
      <c r="J1491" t="s">
        <v>15</v>
      </c>
    </row>
    <row r="1492" spans="1:10">
      <c r="A1492" s="2" t="str">
        <f>"1489"</f>
        <v>1489</v>
      </c>
      <c r="B1492" s="2" t="s">
        <v>9</v>
      </c>
      <c r="C1492" s="2" t="str">
        <f>"1 (1)"</f>
        <v>1 (1)</v>
      </c>
      <c r="D1492" s="2" t="s">
        <v>4946</v>
      </c>
      <c r="E1492" s="5" t="s">
        <v>4947</v>
      </c>
      <c r="F1492" s="3" t="s">
        <v>4948</v>
      </c>
      <c r="G1492" s="3" t="s">
        <v>4949</v>
      </c>
      <c r="H1492" s="2" t="str">
        <f>"2013"</f>
        <v>2013</v>
      </c>
      <c r="I1492" t="s">
        <v>14</v>
      </c>
      <c r="J1492" t="s">
        <v>15</v>
      </c>
    </row>
    <row r="1493" spans="1:10">
      <c r="A1493" s="2" t="str">
        <f>"1490"</f>
        <v>1490</v>
      </c>
      <c r="B1493" s="2" t="s">
        <v>9</v>
      </c>
      <c r="C1493" s="2" t="str">
        <f>"1 (1)"</f>
        <v>1 (1)</v>
      </c>
      <c r="D1493" s="2" t="s">
        <v>4950</v>
      </c>
      <c r="E1493" s="5" t="s">
        <v>4951</v>
      </c>
      <c r="F1493" s="3" t="s">
        <v>4952</v>
      </c>
      <c r="G1493" s="3" t="s">
        <v>4953</v>
      </c>
      <c r="H1493" s="2" t="str">
        <f>"2012"</f>
        <v>2012</v>
      </c>
      <c r="I1493" t="s">
        <v>14</v>
      </c>
      <c r="J1493" t="s">
        <v>15</v>
      </c>
    </row>
    <row r="1494" spans="1:10">
      <c r="A1494" s="2" t="str">
        <f>"1491"</f>
        <v>1491</v>
      </c>
      <c r="B1494" s="2" t="s">
        <v>9</v>
      </c>
      <c r="C1494" s="2" t="str">
        <f>"1 (1)"</f>
        <v>1 (1)</v>
      </c>
      <c r="D1494" s="2" t="s">
        <v>4954</v>
      </c>
      <c r="E1494" s="5" t="s">
        <v>4955</v>
      </c>
      <c r="F1494" s="3" t="s">
        <v>4956</v>
      </c>
      <c r="G1494" s="3" t="s">
        <v>4957</v>
      </c>
      <c r="H1494" s="2" t="str">
        <f>"2012"</f>
        <v>2012</v>
      </c>
      <c r="I1494" t="s">
        <v>14</v>
      </c>
      <c r="J1494" t="s">
        <v>15</v>
      </c>
    </row>
    <row r="1495" spans="1:10">
      <c r="A1495" s="2" t="str">
        <f>"1492"</f>
        <v>1492</v>
      </c>
      <c r="B1495" s="2" t="s">
        <v>9</v>
      </c>
      <c r="C1495" s="2" t="str">
        <f>"1 (1)"</f>
        <v>1 (1)</v>
      </c>
      <c r="D1495" s="2" t="s">
        <v>4958</v>
      </c>
      <c r="E1495" s="5" t="s">
        <v>4959</v>
      </c>
      <c r="F1495" s="3" t="s">
        <v>4960</v>
      </c>
      <c r="G1495" s="3" t="s">
        <v>4961</v>
      </c>
      <c r="H1495" s="2" t="str">
        <f>"2013"</f>
        <v>2013</v>
      </c>
      <c r="I1495" t="s">
        <v>14</v>
      </c>
      <c r="J1495" t="s">
        <v>15</v>
      </c>
    </row>
    <row r="1496" spans="1:10">
      <c r="A1496" s="2" t="str">
        <f>"1493"</f>
        <v>1493</v>
      </c>
      <c r="B1496" s="2" t="s">
        <v>9</v>
      </c>
      <c r="C1496" s="2" t="str">
        <f>"1 (1)"</f>
        <v>1 (1)</v>
      </c>
      <c r="D1496" s="2" t="s">
        <v>4962</v>
      </c>
      <c r="E1496" s="5" t="s">
        <v>4963</v>
      </c>
      <c r="F1496" s="3" t="s">
        <v>4964</v>
      </c>
      <c r="G1496" s="3" t="s">
        <v>4965</v>
      </c>
      <c r="H1496" s="2" t="str">
        <f>"2013"</f>
        <v>2013</v>
      </c>
      <c r="I1496" t="s">
        <v>14</v>
      </c>
      <c r="J1496" t="s">
        <v>15</v>
      </c>
    </row>
    <row r="1497" spans="1:10">
      <c r="A1497" s="2" t="str">
        <f>"1494"</f>
        <v>1494</v>
      </c>
      <c r="B1497" s="2" t="s">
        <v>9</v>
      </c>
      <c r="C1497" s="2" t="str">
        <f>"1 (1)"</f>
        <v>1 (1)</v>
      </c>
      <c r="D1497" s="2" t="s">
        <v>4966</v>
      </c>
      <c r="E1497" s="5" t="s">
        <v>4967</v>
      </c>
      <c r="F1497" s="3" t="s">
        <v>4968</v>
      </c>
      <c r="G1497" s="3" t="s">
        <v>3826</v>
      </c>
      <c r="H1497" s="2" t="str">
        <f>"2013"</f>
        <v>2013</v>
      </c>
      <c r="I1497" t="s">
        <v>14</v>
      </c>
      <c r="J1497" t="s">
        <v>15</v>
      </c>
    </row>
    <row r="1498" spans="1:10">
      <c r="A1498" s="2" t="str">
        <f>"1495"</f>
        <v>1495</v>
      </c>
      <c r="B1498" s="2" t="s">
        <v>9</v>
      </c>
      <c r="C1498" s="2" t="str">
        <f>"1 (1)"</f>
        <v>1 (1)</v>
      </c>
      <c r="D1498" s="2" t="s">
        <v>4969</v>
      </c>
      <c r="E1498" s="5" t="s">
        <v>4970</v>
      </c>
      <c r="F1498" s="3" t="s">
        <v>4971</v>
      </c>
      <c r="G1498" s="3" t="s">
        <v>4972</v>
      </c>
      <c r="H1498" s="2" t="str">
        <f>"2013"</f>
        <v>2013</v>
      </c>
      <c r="I1498" t="s">
        <v>14</v>
      </c>
      <c r="J1498" t="s">
        <v>15</v>
      </c>
    </row>
    <row r="1499" spans="1:10">
      <c r="A1499" s="2" t="str">
        <f>"1496"</f>
        <v>1496</v>
      </c>
      <c r="B1499" s="2" t="s">
        <v>9</v>
      </c>
      <c r="C1499" s="2" t="str">
        <f>"1 (1)"</f>
        <v>1 (1)</v>
      </c>
      <c r="D1499" s="2" t="s">
        <v>4973</v>
      </c>
      <c r="E1499" s="5" t="s">
        <v>4974</v>
      </c>
      <c r="F1499" s="3" t="s">
        <v>4975</v>
      </c>
      <c r="G1499" s="3" t="s">
        <v>4907</v>
      </c>
      <c r="H1499" s="2" t="str">
        <f>"2012"</f>
        <v>2012</v>
      </c>
      <c r="I1499" t="s">
        <v>14</v>
      </c>
      <c r="J1499" t="s">
        <v>15</v>
      </c>
    </row>
    <row r="1500" spans="1:10">
      <c r="A1500" s="2" t="str">
        <f>"1497"</f>
        <v>1497</v>
      </c>
      <c r="B1500" s="2" t="s">
        <v>9</v>
      </c>
      <c r="C1500" s="2" t="str">
        <f>"1 (1)"</f>
        <v>1 (1)</v>
      </c>
      <c r="D1500" s="2" t="s">
        <v>4976</v>
      </c>
      <c r="E1500" s="5" t="s">
        <v>4977</v>
      </c>
      <c r="F1500" s="3" t="s">
        <v>4978</v>
      </c>
      <c r="G1500" s="3" t="s">
        <v>4979</v>
      </c>
      <c r="H1500" s="2" t="str">
        <f>"2013"</f>
        <v>2013</v>
      </c>
      <c r="I1500" t="s">
        <v>14</v>
      </c>
      <c r="J1500" t="s">
        <v>15</v>
      </c>
    </row>
    <row r="1501" spans="1:10">
      <c r="A1501" s="2" t="str">
        <f>"1498"</f>
        <v>1498</v>
      </c>
      <c r="B1501" s="2" t="s">
        <v>9</v>
      </c>
      <c r="C1501" s="2" t="str">
        <f>"1 (1)"</f>
        <v>1 (1)</v>
      </c>
      <c r="D1501" s="2" t="s">
        <v>4980</v>
      </c>
      <c r="E1501" s="5" t="s">
        <v>4981</v>
      </c>
      <c r="F1501" s="3" t="s">
        <v>4982</v>
      </c>
      <c r="G1501" s="3" t="s">
        <v>4983</v>
      </c>
      <c r="H1501" s="2" t="str">
        <f>"2012"</f>
        <v>2012</v>
      </c>
      <c r="I1501" t="s">
        <v>14</v>
      </c>
      <c r="J1501" t="s">
        <v>15</v>
      </c>
    </row>
    <row r="1502" spans="1:10">
      <c r="A1502" s="2" t="str">
        <f>"1499"</f>
        <v>1499</v>
      </c>
      <c r="B1502" s="2" t="s">
        <v>9</v>
      </c>
      <c r="C1502" s="2" t="str">
        <f>"1 (1)"</f>
        <v>1 (1)</v>
      </c>
      <c r="D1502" s="2" t="s">
        <v>4984</v>
      </c>
      <c r="E1502" s="5" t="s">
        <v>4985</v>
      </c>
      <c r="F1502" s="3" t="s">
        <v>4986</v>
      </c>
      <c r="G1502" s="3" t="s">
        <v>4987</v>
      </c>
      <c r="H1502" s="2" t="str">
        <f>"2011"</f>
        <v>2011</v>
      </c>
      <c r="I1502" t="s">
        <v>14</v>
      </c>
      <c r="J1502" t="s">
        <v>15</v>
      </c>
    </row>
    <row r="1503" spans="1:10">
      <c r="A1503" s="2" t="str">
        <f>"1500"</f>
        <v>1500</v>
      </c>
      <c r="B1503" s="2" t="s">
        <v>9</v>
      </c>
      <c r="C1503" s="2" t="str">
        <f>"1 (1)"</f>
        <v>1 (1)</v>
      </c>
      <c r="D1503" s="2" t="s">
        <v>4988</v>
      </c>
      <c r="E1503" s="5" t="s">
        <v>4989</v>
      </c>
      <c r="F1503" s="3" t="s">
        <v>4990</v>
      </c>
      <c r="G1503" s="3" t="s">
        <v>4844</v>
      </c>
      <c r="H1503" s="2" t="str">
        <f>"2011"</f>
        <v>2011</v>
      </c>
      <c r="I1503" t="s">
        <v>14</v>
      </c>
      <c r="J1503" t="s">
        <v>15</v>
      </c>
    </row>
    <row r="1504" spans="1:10">
      <c r="A1504" s="2" t="str">
        <f>"1501"</f>
        <v>1501</v>
      </c>
      <c r="B1504" s="2" t="s">
        <v>9</v>
      </c>
      <c r="C1504" s="2" t="str">
        <f>"1 (1)"</f>
        <v>1 (1)</v>
      </c>
      <c r="D1504" s="2" t="s">
        <v>4991</v>
      </c>
      <c r="E1504" s="5" t="str">
        <f>"100 디스커버리 : 인류의 역사를 바꾼 위대한 과학적 발견들"</f>
        <v>100 디스커버리 : 인류의 역사를 바꾼 위대한 과학적 발견들</v>
      </c>
      <c r="F1504" s="3" t="s">
        <v>4992</v>
      </c>
      <c r="G1504" s="3" t="s">
        <v>4993</v>
      </c>
      <c r="H1504" s="2" t="str">
        <f>"2011"</f>
        <v>2011</v>
      </c>
      <c r="I1504" t="s">
        <v>14</v>
      </c>
      <c r="J1504" t="s">
        <v>15</v>
      </c>
    </row>
    <row r="1505" spans="1:10">
      <c r="A1505" s="2" t="str">
        <f>"1502"</f>
        <v>1502</v>
      </c>
      <c r="B1505" s="2" t="s">
        <v>9</v>
      </c>
      <c r="C1505" s="2" t="str">
        <f>"1 (1)"</f>
        <v>1 (1)</v>
      </c>
      <c r="D1505" s="2" t="s">
        <v>4994</v>
      </c>
      <c r="E1505" s="5" t="str">
        <f>"19세기 동아시아의 패러다임 변환과 다중거울"</f>
        <v>19세기 동아시아의 패러다임 변환과 다중거울</v>
      </c>
      <c r="F1505" s="3" t="s">
        <v>4995</v>
      </c>
      <c r="G1505" s="3" t="s">
        <v>4996</v>
      </c>
      <c r="H1505" s="2" t="str">
        <f>"2013"</f>
        <v>2013</v>
      </c>
      <c r="I1505" t="s">
        <v>14</v>
      </c>
      <c r="J1505" t="s">
        <v>15</v>
      </c>
    </row>
    <row r="1506" spans="1:10">
      <c r="A1506" s="2" t="str">
        <f>"1503"</f>
        <v>1503</v>
      </c>
      <c r="B1506" s="2" t="s">
        <v>9</v>
      </c>
      <c r="C1506" s="2" t="str">
        <f>"1 (1)"</f>
        <v>1 (1)</v>
      </c>
      <c r="D1506" s="2" t="s">
        <v>4997</v>
      </c>
      <c r="E1506" s="5" t="s">
        <v>4998</v>
      </c>
      <c r="F1506" s="3" t="s">
        <v>4999</v>
      </c>
      <c r="G1506" s="3" t="s">
        <v>2467</v>
      </c>
      <c r="H1506" s="2" t="str">
        <f>"2012"</f>
        <v>2012</v>
      </c>
      <c r="I1506" t="s">
        <v>14</v>
      </c>
      <c r="J1506" t="s">
        <v>15</v>
      </c>
    </row>
    <row r="1507" spans="1:10">
      <c r="A1507" s="2" t="str">
        <f>"1504"</f>
        <v>1504</v>
      </c>
      <c r="B1507" s="2" t="s">
        <v>9</v>
      </c>
      <c r="C1507" s="2" t="str">
        <f>"1 (1)"</f>
        <v>1 (1)</v>
      </c>
      <c r="D1507" s="2" t="s">
        <v>5000</v>
      </c>
      <c r="E1507" s="5" t="s">
        <v>5001</v>
      </c>
      <c r="F1507" s="3" t="s">
        <v>5002</v>
      </c>
      <c r="G1507" s="3" t="s">
        <v>3822</v>
      </c>
      <c r="H1507" s="2" t="str">
        <f>"2012"</f>
        <v>2012</v>
      </c>
      <c r="I1507" t="s">
        <v>14</v>
      </c>
      <c r="J1507" t="s">
        <v>15</v>
      </c>
    </row>
    <row r="1508" spans="1:10">
      <c r="A1508" s="2" t="str">
        <f>"1505"</f>
        <v>1505</v>
      </c>
      <c r="B1508" s="2" t="s">
        <v>9</v>
      </c>
      <c r="C1508" s="2" t="str">
        <f>"1 (1)"</f>
        <v>1 (1)</v>
      </c>
      <c r="D1508" s="2" t="s">
        <v>5003</v>
      </c>
      <c r="E1508" s="5" t="s">
        <v>5004</v>
      </c>
      <c r="F1508" s="3" t="s">
        <v>5005</v>
      </c>
      <c r="G1508" s="3" t="s">
        <v>3360</v>
      </c>
      <c r="H1508" s="2" t="str">
        <f>"2012"</f>
        <v>2012</v>
      </c>
      <c r="I1508" t="s">
        <v>14</v>
      </c>
      <c r="J1508" t="s">
        <v>15</v>
      </c>
    </row>
    <row r="1509" spans="1:10">
      <c r="A1509" s="2" t="str">
        <f>"1506"</f>
        <v>1506</v>
      </c>
      <c r="B1509" s="2" t="s">
        <v>9</v>
      </c>
      <c r="C1509" s="2" t="str">
        <f>"1 (1)"</f>
        <v>1 (1)</v>
      </c>
      <c r="D1509" s="2" t="s">
        <v>5006</v>
      </c>
      <c r="E1509" s="5" t="s">
        <v>5007</v>
      </c>
      <c r="F1509" s="3" t="s">
        <v>5008</v>
      </c>
      <c r="G1509" s="3" t="s">
        <v>5009</v>
      </c>
      <c r="H1509" s="2" t="str">
        <f>"2012"</f>
        <v>2012</v>
      </c>
      <c r="I1509" t="s">
        <v>14</v>
      </c>
      <c r="J1509" t="s">
        <v>15</v>
      </c>
    </row>
    <row r="1510" spans="1:10">
      <c r="A1510" s="2" t="str">
        <f>"1507"</f>
        <v>1507</v>
      </c>
      <c r="B1510" s="2" t="s">
        <v>9</v>
      </c>
      <c r="C1510" s="2" t="str">
        <f>"1 (1)"</f>
        <v>1 (1)</v>
      </c>
      <c r="D1510" s="2" t="s">
        <v>5010</v>
      </c>
      <c r="E1510" s="5" t="s">
        <v>5011</v>
      </c>
      <c r="F1510" s="3" t="s">
        <v>5012</v>
      </c>
      <c r="G1510" s="3" t="s">
        <v>4296</v>
      </c>
      <c r="H1510" s="2" t="str">
        <f>"2013"</f>
        <v>2013</v>
      </c>
      <c r="I1510" t="s">
        <v>14</v>
      </c>
      <c r="J1510" t="s">
        <v>15</v>
      </c>
    </row>
    <row r="1511" spans="1:10">
      <c r="A1511" s="2" t="str">
        <f>"1508"</f>
        <v>1508</v>
      </c>
      <c r="B1511" s="2" t="s">
        <v>9</v>
      </c>
      <c r="C1511" s="2" t="str">
        <f>"1 (1)"</f>
        <v>1 (1)</v>
      </c>
      <c r="D1511" s="2" t="s">
        <v>5013</v>
      </c>
      <c r="E1511" s="5" t="s">
        <v>5014</v>
      </c>
      <c r="F1511" s="3" t="s">
        <v>5015</v>
      </c>
      <c r="G1511" s="3" t="s">
        <v>5016</v>
      </c>
      <c r="H1511" s="2" t="str">
        <f>"2012"</f>
        <v>2012</v>
      </c>
      <c r="I1511" t="s">
        <v>14</v>
      </c>
      <c r="J1511" t="s">
        <v>15</v>
      </c>
    </row>
    <row r="1512" spans="1:10">
      <c r="A1512" s="2" t="str">
        <f>"1509"</f>
        <v>1509</v>
      </c>
      <c r="B1512" s="2" t="s">
        <v>9</v>
      </c>
      <c r="C1512" s="2" t="str">
        <f>"1 (1)"</f>
        <v>1 (1)</v>
      </c>
      <c r="D1512" s="2" t="s">
        <v>5017</v>
      </c>
      <c r="E1512" s="5" t="s">
        <v>5018</v>
      </c>
      <c r="F1512" s="3" t="s">
        <v>5019</v>
      </c>
      <c r="G1512" s="3" t="s">
        <v>5020</v>
      </c>
      <c r="H1512" s="2" t="str">
        <f>"2013"</f>
        <v>2013</v>
      </c>
      <c r="I1512" t="s">
        <v>14</v>
      </c>
      <c r="J1512" t="s">
        <v>15</v>
      </c>
    </row>
    <row r="1513" spans="1:10">
      <c r="A1513" s="2" t="str">
        <f>"1510"</f>
        <v>1510</v>
      </c>
      <c r="B1513" s="2" t="s">
        <v>9</v>
      </c>
      <c r="C1513" s="2" t="str">
        <f>"1 (1)"</f>
        <v>1 (1)</v>
      </c>
      <c r="D1513" s="2" t="s">
        <v>5021</v>
      </c>
      <c r="E1513" s="5" t="s">
        <v>5022</v>
      </c>
      <c r="F1513" s="3" t="s">
        <v>5023</v>
      </c>
      <c r="G1513" s="3" t="s">
        <v>2421</v>
      </c>
      <c r="H1513" s="2" t="str">
        <f>"2013"</f>
        <v>2013</v>
      </c>
      <c r="I1513" t="s">
        <v>14</v>
      </c>
      <c r="J1513" t="s">
        <v>15</v>
      </c>
    </row>
    <row r="1514" spans="1:10">
      <c r="A1514" s="2" t="str">
        <f>"1511"</f>
        <v>1511</v>
      </c>
      <c r="B1514" s="2" t="s">
        <v>9</v>
      </c>
      <c r="C1514" s="2" t="str">
        <f>"1 (1)"</f>
        <v>1 (1)</v>
      </c>
      <c r="D1514" s="2" t="s">
        <v>5024</v>
      </c>
      <c r="E1514" s="5" t="s">
        <v>5025</v>
      </c>
      <c r="F1514" s="3" t="s">
        <v>5026</v>
      </c>
      <c r="G1514" s="3" t="s">
        <v>5027</v>
      </c>
      <c r="H1514" s="2" t="str">
        <f>"2013"</f>
        <v>2013</v>
      </c>
      <c r="I1514" t="s">
        <v>14</v>
      </c>
      <c r="J1514" t="s">
        <v>15</v>
      </c>
    </row>
    <row r="1515" spans="1:10">
      <c r="A1515" s="2" t="str">
        <f>"1512"</f>
        <v>1512</v>
      </c>
      <c r="B1515" s="2" t="s">
        <v>9</v>
      </c>
      <c r="C1515" s="2" t="str">
        <f>"1 (1)"</f>
        <v>1 (1)</v>
      </c>
      <c r="D1515" s="2" t="s">
        <v>5028</v>
      </c>
      <c r="E1515" s="5" t="s">
        <v>5029</v>
      </c>
      <c r="F1515" s="3" t="s">
        <v>5030</v>
      </c>
      <c r="G1515" s="3" t="s">
        <v>5031</v>
      </c>
      <c r="H1515" s="2" t="str">
        <f>"2011"</f>
        <v>2011</v>
      </c>
      <c r="I1515" t="s">
        <v>14</v>
      </c>
      <c r="J1515" t="s">
        <v>15</v>
      </c>
    </row>
    <row r="1516" spans="1:10">
      <c r="A1516" s="2" t="str">
        <f>"1513"</f>
        <v>1513</v>
      </c>
      <c r="B1516" s="2" t="s">
        <v>9</v>
      </c>
      <c r="C1516" s="2" t="str">
        <f>"1 (1)"</f>
        <v>1 (1)</v>
      </c>
      <c r="D1516" s="2" t="s">
        <v>5032</v>
      </c>
      <c r="E1516" s="5" t="s">
        <v>5033</v>
      </c>
      <c r="F1516" s="3" t="s">
        <v>5030</v>
      </c>
      <c r="G1516" s="3" t="s">
        <v>4329</v>
      </c>
      <c r="H1516" s="2" t="str">
        <f>"2012"</f>
        <v>2012</v>
      </c>
      <c r="I1516" t="s">
        <v>14</v>
      </c>
      <c r="J1516" t="s">
        <v>15</v>
      </c>
    </row>
    <row r="1517" spans="1:10">
      <c r="A1517" s="2" t="str">
        <f>"1514"</f>
        <v>1514</v>
      </c>
      <c r="B1517" s="2" t="s">
        <v>9</v>
      </c>
      <c r="C1517" s="2" t="str">
        <f>"1 (1)"</f>
        <v>1 (1)</v>
      </c>
      <c r="D1517" s="2" t="s">
        <v>5034</v>
      </c>
      <c r="E1517" s="5" t="s">
        <v>5035</v>
      </c>
      <c r="F1517" s="3" t="s">
        <v>5036</v>
      </c>
      <c r="G1517" s="3" t="s">
        <v>5037</v>
      </c>
      <c r="H1517" s="2" t="str">
        <f>"2012"</f>
        <v>2012</v>
      </c>
      <c r="I1517" t="s">
        <v>14</v>
      </c>
      <c r="J1517" t="s">
        <v>15</v>
      </c>
    </row>
    <row r="1518" spans="1:10">
      <c r="A1518" s="2" t="str">
        <f>"1515"</f>
        <v>1515</v>
      </c>
      <c r="B1518" s="2" t="s">
        <v>9</v>
      </c>
      <c r="C1518" s="2" t="str">
        <f>"1 (1)"</f>
        <v>1 (1)</v>
      </c>
      <c r="D1518" s="2" t="s">
        <v>5038</v>
      </c>
      <c r="E1518" s="5" t="s">
        <v>5039</v>
      </c>
      <c r="F1518" s="3" t="s">
        <v>5040</v>
      </c>
      <c r="G1518" s="3" t="s">
        <v>4492</v>
      </c>
      <c r="H1518" s="2" t="str">
        <f>"2012"</f>
        <v>2012</v>
      </c>
      <c r="I1518" t="s">
        <v>14</v>
      </c>
      <c r="J1518" t="s">
        <v>15</v>
      </c>
    </row>
    <row r="1519" spans="1:10">
      <c r="A1519" s="2" t="str">
        <f>"1516"</f>
        <v>1516</v>
      </c>
      <c r="B1519" s="2" t="s">
        <v>9</v>
      </c>
      <c r="C1519" s="2" t="str">
        <f>"1 (1)"</f>
        <v>1 (1)</v>
      </c>
      <c r="D1519" s="2" t="s">
        <v>5041</v>
      </c>
      <c r="E1519" s="5" t="s">
        <v>5042</v>
      </c>
      <c r="F1519" s="3" t="s">
        <v>5043</v>
      </c>
      <c r="G1519" s="3" t="s">
        <v>5044</v>
      </c>
      <c r="H1519" s="2" t="str">
        <f>"2012"</f>
        <v>2012</v>
      </c>
      <c r="I1519" t="s">
        <v>14</v>
      </c>
      <c r="J1519" t="s">
        <v>15</v>
      </c>
    </row>
    <row r="1520" spans="1:10">
      <c r="A1520" s="2" t="str">
        <f>"1517"</f>
        <v>1517</v>
      </c>
      <c r="B1520" s="2" t="s">
        <v>9</v>
      </c>
      <c r="C1520" s="2" t="str">
        <f>"1 (1)"</f>
        <v>1 (1)</v>
      </c>
      <c r="D1520" s="2" t="s">
        <v>5045</v>
      </c>
      <c r="E1520" s="5" t="s">
        <v>5046</v>
      </c>
      <c r="F1520" s="3" t="s">
        <v>5047</v>
      </c>
      <c r="G1520" s="3" t="s">
        <v>3469</v>
      </c>
      <c r="H1520" s="2" t="str">
        <f>"2013"</f>
        <v>2013</v>
      </c>
      <c r="I1520" t="s">
        <v>14</v>
      </c>
      <c r="J1520" t="s">
        <v>15</v>
      </c>
    </row>
    <row r="1521" spans="1:10">
      <c r="A1521" s="2" t="str">
        <f>"1518"</f>
        <v>1518</v>
      </c>
      <c r="B1521" s="2" t="s">
        <v>9</v>
      </c>
      <c r="C1521" s="2" t="str">
        <f>"1 (1)"</f>
        <v>1 (1)</v>
      </c>
      <c r="D1521" s="2" t="s">
        <v>5048</v>
      </c>
      <c r="E1521" s="5" t="s">
        <v>5049</v>
      </c>
      <c r="F1521" s="3" t="s">
        <v>5050</v>
      </c>
      <c r="G1521" s="3" t="s">
        <v>5051</v>
      </c>
      <c r="H1521" s="2" t="str">
        <f>"2012"</f>
        <v>2012</v>
      </c>
      <c r="I1521" t="s">
        <v>14</v>
      </c>
      <c r="J1521" t="s">
        <v>15</v>
      </c>
    </row>
    <row r="1522" spans="1:10">
      <c r="A1522" s="2" t="str">
        <f>"1519"</f>
        <v>1519</v>
      </c>
      <c r="B1522" s="2" t="s">
        <v>9</v>
      </c>
      <c r="C1522" s="2" t="str">
        <f>"1 (1)"</f>
        <v>1 (1)</v>
      </c>
      <c r="D1522" s="2" t="s">
        <v>5052</v>
      </c>
      <c r="E1522" s="5" t="s">
        <v>5053</v>
      </c>
      <c r="F1522" s="3" t="s">
        <v>5054</v>
      </c>
      <c r="G1522" s="3" t="s">
        <v>5055</v>
      </c>
      <c r="H1522" s="2" t="str">
        <f>"2013"</f>
        <v>2013</v>
      </c>
      <c r="I1522" t="s">
        <v>14</v>
      </c>
      <c r="J1522" t="s">
        <v>15</v>
      </c>
    </row>
    <row r="1523" spans="1:10">
      <c r="A1523" s="2" t="str">
        <f>"1520"</f>
        <v>1520</v>
      </c>
      <c r="B1523" s="2" t="s">
        <v>9</v>
      </c>
      <c r="C1523" s="2" t="str">
        <f>"1 (1)"</f>
        <v>1 (1)</v>
      </c>
      <c r="D1523" s="2" t="s">
        <v>5056</v>
      </c>
      <c r="E1523" s="5" t="s">
        <v>5057</v>
      </c>
      <c r="F1523" s="3" t="s">
        <v>5058</v>
      </c>
      <c r="G1523" s="3" t="s">
        <v>2033</v>
      </c>
      <c r="H1523" s="2" t="str">
        <f>"2012"</f>
        <v>2012</v>
      </c>
      <c r="I1523" t="s">
        <v>14</v>
      </c>
      <c r="J1523" t="s">
        <v>15</v>
      </c>
    </row>
    <row r="1524" spans="1:10">
      <c r="A1524" s="2" t="str">
        <f>"1521"</f>
        <v>1521</v>
      </c>
      <c r="B1524" s="2" t="s">
        <v>9</v>
      </c>
      <c r="C1524" s="2" t="str">
        <f>"1 (1)"</f>
        <v>1 (1)</v>
      </c>
      <c r="D1524" s="2" t="s">
        <v>5059</v>
      </c>
      <c r="E1524" s="5" t="s">
        <v>5060</v>
      </c>
      <c r="F1524" s="3" t="s">
        <v>5061</v>
      </c>
      <c r="G1524" s="3" t="s">
        <v>3808</v>
      </c>
      <c r="H1524" s="2" t="str">
        <f>"2012"</f>
        <v>2012</v>
      </c>
      <c r="I1524" t="s">
        <v>14</v>
      </c>
      <c r="J1524" t="s">
        <v>15</v>
      </c>
    </row>
    <row r="1525" spans="1:10">
      <c r="A1525" s="2" t="str">
        <f>"1522"</f>
        <v>1522</v>
      </c>
      <c r="B1525" s="2" t="s">
        <v>9</v>
      </c>
      <c r="C1525" s="2" t="str">
        <f>"1 (1)"</f>
        <v>1 (1)</v>
      </c>
      <c r="D1525" s="2" t="s">
        <v>5062</v>
      </c>
      <c r="E1525" s="5" t="s">
        <v>5063</v>
      </c>
      <c r="F1525" s="3" t="s">
        <v>5064</v>
      </c>
      <c r="G1525" s="3" t="s">
        <v>360</v>
      </c>
      <c r="H1525" s="2" t="str">
        <f>"2012"</f>
        <v>2012</v>
      </c>
      <c r="I1525" t="s">
        <v>14</v>
      </c>
      <c r="J1525" t="s">
        <v>15</v>
      </c>
    </row>
    <row r="1526" spans="1:10">
      <c r="A1526" s="2" t="str">
        <f>"1523"</f>
        <v>1523</v>
      </c>
      <c r="B1526" s="2" t="s">
        <v>9</v>
      </c>
      <c r="C1526" s="2" t="str">
        <f>"1 (1)"</f>
        <v>1 (1)</v>
      </c>
      <c r="D1526" s="2" t="s">
        <v>5065</v>
      </c>
      <c r="E1526" s="5" t="s">
        <v>5066</v>
      </c>
      <c r="F1526" s="3" t="s">
        <v>5067</v>
      </c>
      <c r="G1526" s="3" t="s">
        <v>4690</v>
      </c>
      <c r="H1526" s="2" t="str">
        <f>"2012"</f>
        <v>2012</v>
      </c>
      <c r="I1526" t="s">
        <v>14</v>
      </c>
      <c r="J1526" t="s">
        <v>15</v>
      </c>
    </row>
    <row r="1527" spans="1:10">
      <c r="A1527" s="2" t="str">
        <f>"1524"</f>
        <v>1524</v>
      </c>
      <c r="B1527" s="2" t="s">
        <v>9</v>
      </c>
      <c r="C1527" s="2" t="str">
        <f>"1 (1)"</f>
        <v>1 (1)</v>
      </c>
      <c r="D1527" s="2" t="s">
        <v>5068</v>
      </c>
      <c r="E1527" s="5" t="s">
        <v>5069</v>
      </c>
      <c r="F1527" s="3" t="s">
        <v>5070</v>
      </c>
      <c r="G1527" s="3" t="s">
        <v>289</v>
      </c>
      <c r="H1527" s="2" t="str">
        <f>"2013"</f>
        <v>2013</v>
      </c>
      <c r="I1527" t="s">
        <v>14</v>
      </c>
      <c r="J1527" t="s">
        <v>15</v>
      </c>
    </row>
    <row r="1528" spans="1:10">
      <c r="A1528" s="2" t="str">
        <f>"1525"</f>
        <v>1525</v>
      </c>
      <c r="B1528" s="2" t="s">
        <v>9</v>
      </c>
      <c r="C1528" s="2" t="str">
        <f>"1 (1)"</f>
        <v>1 (1)</v>
      </c>
      <c r="D1528" s="2" t="s">
        <v>5071</v>
      </c>
      <c r="E1528" s="5" t="s">
        <v>5072</v>
      </c>
      <c r="F1528" s="3" t="s">
        <v>5073</v>
      </c>
      <c r="G1528" s="3" t="s">
        <v>5074</v>
      </c>
      <c r="H1528" s="2" t="str">
        <f>"2013"</f>
        <v>2013</v>
      </c>
      <c r="I1528" t="s">
        <v>14</v>
      </c>
      <c r="J1528" t="s">
        <v>15</v>
      </c>
    </row>
    <row r="1529" spans="1:10">
      <c r="A1529" s="2" t="str">
        <f>"1526"</f>
        <v>1526</v>
      </c>
      <c r="B1529" s="2" t="s">
        <v>9</v>
      </c>
      <c r="C1529" s="2" t="str">
        <f>"1 (1)"</f>
        <v>1 (1)</v>
      </c>
      <c r="D1529" s="2" t="s">
        <v>5075</v>
      </c>
      <c r="E1529" s="5" t="s">
        <v>5076</v>
      </c>
      <c r="F1529" s="3" t="s">
        <v>5077</v>
      </c>
      <c r="G1529" s="3" t="s">
        <v>2666</v>
      </c>
      <c r="H1529" s="2" t="str">
        <f>"2012"</f>
        <v>2012</v>
      </c>
      <c r="I1529" t="s">
        <v>14</v>
      </c>
      <c r="J1529" t="s">
        <v>15</v>
      </c>
    </row>
    <row r="1530" spans="1:10">
      <c r="A1530" s="2" t="str">
        <f>"1527"</f>
        <v>1527</v>
      </c>
      <c r="B1530" s="2" t="s">
        <v>9</v>
      </c>
      <c r="C1530" s="2" t="str">
        <f>"1 (1)"</f>
        <v>1 (1)</v>
      </c>
      <c r="D1530" s="2" t="s">
        <v>5078</v>
      </c>
      <c r="E1530" s="5" t="s">
        <v>5079</v>
      </c>
      <c r="F1530" s="3" t="s">
        <v>5080</v>
      </c>
      <c r="G1530" s="3" t="s">
        <v>5016</v>
      </c>
      <c r="H1530" s="2" t="str">
        <f>"2012"</f>
        <v>2012</v>
      </c>
      <c r="I1530" t="s">
        <v>14</v>
      </c>
      <c r="J1530" t="s">
        <v>15</v>
      </c>
    </row>
    <row r="1531" spans="1:10">
      <c r="A1531" s="2" t="str">
        <f>"1528"</f>
        <v>1528</v>
      </c>
      <c r="B1531" s="2" t="s">
        <v>9</v>
      </c>
      <c r="C1531" s="2" t="str">
        <f>"1 (1)"</f>
        <v>1 (1)</v>
      </c>
      <c r="D1531" s="2" t="s">
        <v>5081</v>
      </c>
      <c r="E1531" s="5" t="s">
        <v>5082</v>
      </c>
      <c r="F1531" s="3" t="s">
        <v>5083</v>
      </c>
      <c r="G1531" s="3" t="s">
        <v>5083</v>
      </c>
      <c r="H1531" s="2" t="str">
        <f>"2013"</f>
        <v>2013</v>
      </c>
      <c r="I1531" t="s">
        <v>14</v>
      </c>
      <c r="J1531" t="s">
        <v>15</v>
      </c>
    </row>
    <row r="1532" spans="1:10">
      <c r="A1532" s="2" t="str">
        <f>"1529"</f>
        <v>1529</v>
      </c>
      <c r="B1532" s="2" t="s">
        <v>9</v>
      </c>
      <c r="C1532" s="2" t="str">
        <f>"1 (1)"</f>
        <v>1 (1)</v>
      </c>
      <c r="D1532" s="2" t="s">
        <v>5084</v>
      </c>
      <c r="E1532" s="5" t="s">
        <v>5085</v>
      </c>
      <c r="F1532" s="3" t="s">
        <v>5086</v>
      </c>
      <c r="G1532" s="3" t="s">
        <v>5087</v>
      </c>
      <c r="H1532" s="2" t="str">
        <f>"2013"</f>
        <v>2013</v>
      </c>
      <c r="I1532" t="s">
        <v>14</v>
      </c>
      <c r="J1532" t="s">
        <v>15</v>
      </c>
    </row>
    <row r="1533" spans="1:10">
      <c r="A1533" s="2" t="str">
        <f>"1530"</f>
        <v>1530</v>
      </c>
      <c r="B1533" s="2" t="s">
        <v>9</v>
      </c>
      <c r="C1533" s="2" t="str">
        <f>"1 (1)"</f>
        <v>1 (1)</v>
      </c>
      <c r="D1533" s="2" t="s">
        <v>5088</v>
      </c>
      <c r="E1533" s="5" t="s">
        <v>5089</v>
      </c>
      <c r="F1533" s="3" t="s">
        <v>5090</v>
      </c>
      <c r="G1533" s="3" t="s">
        <v>3444</v>
      </c>
      <c r="H1533" s="2" t="str">
        <f>"2010"</f>
        <v>2010</v>
      </c>
      <c r="I1533" t="s">
        <v>14</v>
      </c>
      <c r="J1533" t="s">
        <v>15</v>
      </c>
    </row>
    <row r="1534" spans="1:10">
      <c r="A1534" s="2" t="str">
        <f>"1531"</f>
        <v>1531</v>
      </c>
      <c r="B1534" s="2" t="s">
        <v>9</v>
      </c>
      <c r="C1534" s="2" t="str">
        <f>"1 (1)"</f>
        <v>1 (1)</v>
      </c>
      <c r="D1534" s="2" t="s">
        <v>5091</v>
      </c>
      <c r="E1534" s="5" t="s">
        <v>5092</v>
      </c>
      <c r="F1534" s="3" t="s">
        <v>5093</v>
      </c>
      <c r="G1534" s="3" t="s">
        <v>4781</v>
      </c>
      <c r="H1534" s="2" t="str">
        <f>"2011"</f>
        <v>2011</v>
      </c>
      <c r="I1534" t="s">
        <v>14</v>
      </c>
      <c r="J1534" t="s">
        <v>15</v>
      </c>
    </row>
    <row r="1535" spans="1:10">
      <c r="A1535" s="2" t="str">
        <f>"1532"</f>
        <v>1532</v>
      </c>
      <c r="B1535" s="2" t="s">
        <v>9</v>
      </c>
      <c r="C1535" s="2" t="str">
        <f>"1 (1)"</f>
        <v>1 (1)</v>
      </c>
      <c r="D1535" s="2" t="s">
        <v>5094</v>
      </c>
      <c r="E1535" s="5" t="s">
        <v>5095</v>
      </c>
      <c r="F1535" s="3" t="s">
        <v>5096</v>
      </c>
      <c r="G1535" s="3" t="s">
        <v>5097</v>
      </c>
      <c r="H1535" s="2" t="str">
        <f>"2013"</f>
        <v>2013</v>
      </c>
      <c r="I1535" t="s">
        <v>14</v>
      </c>
      <c r="J1535" t="s">
        <v>15</v>
      </c>
    </row>
    <row r="1536" spans="1:10">
      <c r="A1536" s="2" t="str">
        <f>"1533"</f>
        <v>1533</v>
      </c>
      <c r="B1536" s="2" t="s">
        <v>9</v>
      </c>
      <c r="C1536" s="2" t="str">
        <f>"1 (1)"</f>
        <v>1 (1)</v>
      </c>
      <c r="D1536" s="2" t="s">
        <v>5098</v>
      </c>
      <c r="E1536" s="5" t="s">
        <v>5099</v>
      </c>
      <c r="F1536" s="3" t="s">
        <v>5100</v>
      </c>
      <c r="G1536" s="3" t="s">
        <v>3012</v>
      </c>
      <c r="H1536" s="2" t="str">
        <f>"2013"</f>
        <v>2013</v>
      </c>
      <c r="I1536" t="s">
        <v>14</v>
      </c>
      <c r="J1536" t="s">
        <v>15</v>
      </c>
    </row>
    <row r="1537" spans="1:10">
      <c r="A1537" s="2" t="str">
        <f>"1534"</f>
        <v>1534</v>
      </c>
      <c r="B1537" s="2" t="s">
        <v>9</v>
      </c>
      <c r="C1537" s="2" t="str">
        <f>"1 (1)"</f>
        <v>1 (1)</v>
      </c>
      <c r="D1537" s="2" t="s">
        <v>5101</v>
      </c>
      <c r="E1537" s="5" t="str">
        <f>"103세 현역 의사 히노하라, 건강과 행복을 말하다"</f>
        <v>103세 현역 의사 히노하라, 건강과 행복을 말하다</v>
      </c>
      <c r="F1537" s="3" t="s">
        <v>5102</v>
      </c>
      <c r="G1537" s="3" t="s">
        <v>5103</v>
      </c>
      <c r="H1537" s="2" t="str">
        <f>"2013"</f>
        <v>2013</v>
      </c>
      <c r="I1537" t="s">
        <v>14</v>
      </c>
      <c r="J1537" t="s">
        <v>15</v>
      </c>
    </row>
    <row r="1538" spans="1:10">
      <c r="A1538" s="2" t="str">
        <f>"1535"</f>
        <v>1535</v>
      </c>
      <c r="B1538" s="2" t="s">
        <v>9</v>
      </c>
      <c r="C1538" s="2" t="str">
        <f>"1 (1)"</f>
        <v>1 (1)</v>
      </c>
      <c r="D1538" s="2" t="s">
        <v>5104</v>
      </c>
      <c r="E1538" s="5" t="str">
        <f>"10대 성장 보고서 : 10대들의 뇌, 심리, 행동의 비밀을 파헤친 과학적 분석!"</f>
        <v>10대 성장 보고서 : 10대들의 뇌, 심리, 행동의 비밀을 파헤친 과학적 분석!</v>
      </c>
      <c r="F1538" s="3" t="s">
        <v>5105</v>
      </c>
      <c r="G1538" s="3" t="s">
        <v>2884</v>
      </c>
      <c r="H1538" s="2" t="str">
        <f>"2012"</f>
        <v>2012</v>
      </c>
      <c r="I1538" t="s">
        <v>14</v>
      </c>
      <c r="J1538" t="s">
        <v>15</v>
      </c>
    </row>
    <row r="1539" spans="1:10">
      <c r="A1539" s="2" t="str">
        <f>"1536"</f>
        <v>1536</v>
      </c>
      <c r="B1539" s="2" t="s">
        <v>9</v>
      </c>
      <c r="C1539" s="2" t="str">
        <f>"1 (1)"</f>
        <v>1 (1)</v>
      </c>
      <c r="D1539" s="2" t="s">
        <v>5106</v>
      </c>
      <c r="E1539" s="5" t="str">
        <f>"1日 효소 단식 : 무작정 굶지 말고 효소로 다이어트 하라"</f>
        <v>1日 효소 단식 : 무작정 굶지 말고 효소로 다이어트 하라</v>
      </c>
      <c r="F1539" s="3" t="s">
        <v>5107</v>
      </c>
      <c r="G1539" s="3" t="s">
        <v>5108</v>
      </c>
      <c r="H1539" s="2" t="str">
        <f>"2013"</f>
        <v>2013</v>
      </c>
      <c r="I1539" t="s">
        <v>14</v>
      </c>
      <c r="J1539" t="s">
        <v>15</v>
      </c>
    </row>
    <row r="1540" spans="1:10">
      <c r="A1540" s="2" t="str">
        <f>"1537"</f>
        <v>1537</v>
      </c>
      <c r="B1540" s="2" t="s">
        <v>9</v>
      </c>
      <c r="C1540" s="2" t="str">
        <f>"1 (1)"</f>
        <v>1 (1)</v>
      </c>
      <c r="D1540" s="2" t="s">
        <v>5109</v>
      </c>
      <c r="E1540" s="5" t="s">
        <v>5110</v>
      </c>
      <c r="F1540" s="3" t="s">
        <v>5111</v>
      </c>
      <c r="G1540" s="3" t="s">
        <v>5112</v>
      </c>
      <c r="H1540" s="2" t="str">
        <f>"2012"</f>
        <v>2012</v>
      </c>
      <c r="I1540" t="s">
        <v>14</v>
      </c>
      <c r="J1540" t="s">
        <v>15</v>
      </c>
    </row>
    <row r="1541" spans="1:10">
      <c r="A1541" s="2" t="str">
        <f>"1538"</f>
        <v>1538</v>
      </c>
      <c r="B1541" s="2" t="s">
        <v>9</v>
      </c>
      <c r="C1541" s="2" t="str">
        <f>"1 (1)"</f>
        <v>1 (1)</v>
      </c>
      <c r="D1541" s="2" t="s">
        <v>5113</v>
      </c>
      <c r="E1541" s="5" t="s">
        <v>5114</v>
      </c>
      <c r="F1541" s="3" t="s">
        <v>5115</v>
      </c>
      <c r="G1541" s="3" t="s">
        <v>5116</v>
      </c>
      <c r="H1541" s="2" t="str">
        <f>"2012"</f>
        <v>2012</v>
      </c>
      <c r="I1541" t="s">
        <v>14</v>
      </c>
      <c r="J1541" t="s">
        <v>15</v>
      </c>
    </row>
    <row r="1542" spans="1:10">
      <c r="A1542" s="2" t="str">
        <f>"1539"</f>
        <v>1539</v>
      </c>
      <c r="B1542" s="2" t="s">
        <v>9</v>
      </c>
      <c r="C1542" s="2" t="str">
        <f>"1 (1)"</f>
        <v>1 (1)</v>
      </c>
      <c r="D1542" s="2" t="s">
        <v>5117</v>
      </c>
      <c r="E1542" s="5" t="s">
        <v>5118</v>
      </c>
      <c r="F1542" s="3" t="s">
        <v>5119</v>
      </c>
      <c r="G1542" s="3" t="s">
        <v>1949</v>
      </c>
      <c r="H1542" s="2" t="str">
        <f>"2013"</f>
        <v>2013</v>
      </c>
      <c r="I1542" t="s">
        <v>14</v>
      </c>
      <c r="J1542" t="s">
        <v>15</v>
      </c>
    </row>
    <row r="1543" spans="1:10">
      <c r="A1543" s="2" t="str">
        <f>"1540"</f>
        <v>1540</v>
      </c>
      <c r="B1543" s="2" t="s">
        <v>9</v>
      </c>
      <c r="C1543" s="2" t="str">
        <f>"1 (1)"</f>
        <v>1 (1)</v>
      </c>
      <c r="D1543" s="2" t="s">
        <v>5120</v>
      </c>
      <c r="E1543" s="5" t="s">
        <v>5121</v>
      </c>
      <c r="F1543" s="3" t="s">
        <v>5122</v>
      </c>
      <c r="G1543" s="3" t="s">
        <v>5123</v>
      </c>
      <c r="H1543" s="2" t="str">
        <f>"2013"</f>
        <v>2013</v>
      </c>
      <c r="I1543" t="s">
        <v>14</v>
      </c>
      <c r="J1543" t="s">
        <v>15</v>
      </c>
    </row>
    <row r="1544" spans="1:10">
      <c r="A1544" s="2" t="str">
        <f>"1541"</f>
        <v>1541</v>
      </c>
      <c r="B1544" s="2" t="s">
        <v>9</v>
      </c>
      <c r="C1544" s="2" t="str">
        <f>"1 (1)"</f>
        <v>1 (1)</v>
      </c>
      <c r="D1544" s="2" t="s">
        <v>5124</v>
      </c>
      <c r="E1544" s="5" t="s">
        <v>5125</v>
      </c>
      <c r="F1544" s="3" t="s">
        <v>5126</v>
      </c>
      <c r="G1544" s="3" t="s">
        <v>5127</v>
      </c>
      <c r="H1544" s="2" t="str">
        <f>"2002"</f>
        <v>2002</v>
      </c>
      <c r="I1544" t="s">
        <v>14</v>
      </c>
      <c r="J1544" t="s">
        <v>15</v>
      </c>
    </row>
    <row r="1545" spans="1:10">
      <c r="A1545" s="2" t="str">
        <f>"1542"</f>
        <v>1542</v>
      </c>
      <c r="B1545" s="2" t="s">
        <v>9</v>
      </c>
      <c r="C1545" s="2" t="str">
        <f>"1 (1)"</f>
        <v>1 (1)</v>
      </c>
      <c r="D1545" s="2" t="s">
        <v>5128</v>
      </c>
      <c r="E1545" s="5" t="s">
        <v>5129</v>
      </c>
      <c r="F1545" s="3" t="s">
        <v>5130</v>
      </c>
      <c r="G1545" s="3" t="s">
        <v>4597</v>
      </c>
      <c r="H1545" s="2" t="str">
        <f>"2013"</f>
        <v>2013</v>
      </c>
      <c r="I1545" t="s">
        <v>14</v>
      </c>
      <c r="J1545" t="s">
        <v>15</v>
      </c>
    </row>
    <row r="1546" spans="1:10">
      <c r="A1546" s="2" t="str">
        <f>"1543"</f>
        <v>1543</v>
      </c>
      <c r="B1546" s="2" t="s">
        <v>9</v>
      </c>
      <c r="C1546" s="2" t="str">
        <f>"1 (1)"</f>
        <v>1 (1)</v>
      </c>
      <c r="D1546" s="2" t="s">
        <v>5131</v>
      </c>
      <c r="E1546" s="5" t="s">
        <v>5132</v>
      </c>
      <c r="F1546" s="3" t="s">
        <v>5133</v>
      </c>
      <c r="G1546" s="3" t="s">
        <v>5134</v>
      </c>
      <c r="H1546" s="2" t="str">
        <f>"2012"</f>
        <v>2012</v>
      </c>
      <c r="I1546" t="s">
        <v>14</v>
      </c>
      <c r="J1546" t="s">
        <v>15</v>
      </c>
    </row>
    <row r="1547" spans="1:10">
      <c r="A1547" s="2" t="str">
        <f>"1544"</f>
        <v>1544</v>
      </c>
      <c r="B1547" s="2" t="s">
        <v>9</v>
      </c>
      <c r="C1547" s="2" t="str">
        <f>"1 (1)"</f>
        <v>1 (1)</v>
      </c>
      <c r="D1547" s="2" t="s">
        <v>5135</v>
      </c>
      <c r="E1547" s="5" t="s">
        <v>5136</v>
      </c>
      <c r="F1547" s="3" t="s">
        <v>5137</v>
      </c>
      <c r="G1547" s="3" t="s">
        <v>5138</v>
      </c>
      <c r="H1547" s="2" t="str">
        <f>"2012"</f>
        <v>2012</v>
      </c>
      <c r="I1547" t="s">
        <v>14</v>
      </c>
      <c r="J1547" t="s">
        <v>15</v>
      </c>
    </row>
    <row r="1548" spans="1:10">
      <c r="A1548" s="2" t="str">
        <f>"1545"</f>
        <v>1545</v>
      </c>
      <c r="B1548" s="2" t="s">
        <v>9</v>
      </c>
      <c r="C1548" s="2" t="str">
        <f>"1 (1)"</f>
        <v>1 (1)</v>
      </c>
      <c r="D1548" s="2" t="s">
        <v>5139</v>
      </c>
      <c r="E1548" s="5" t="s">
        <v>5136</v>
      </c>
      <c r="F1548" s="3" t="s">
        <v>5137</v>
      </c>
      <c r="G1548" s="3" t="s">
        <v>5138</v>
      </c>
      <c r="H1548" s="2" t="str">
        <f>"2012"</f>
        <v>2012</v>
      </c>
      <c r="I1548" t="s">
        <v>14</v>
      </c>
      <c r="J1548" t="s">
        <v>15</v>
      </c>
    </row>
    <row r="1549" spans="1:10">
      <c r="A1549" s="2" t="str">
        <f>"1546"</f>
        <v>1546</v>
      </c>
      <c r="B1549" s="2" t="s">
        <v>9</v>
      </c>
      <c r="C1549" s="2" t="str">
        <f>"1 (1)"</f>
        <v>1 (1)</v>
      </c>
      <c r="D1549" s="2" t="s">
        <v>5140</v>
      </c>
      <c r="E1549" s="5" t="s">
        <v>5141</v>
      </c>
      <c r="F1549" s="3" t="s">
        <v>5142</v>
      </c>
      <c r="G1549" s="3" t="s">
        <v>5143</v>
      </c>
      <c r="H1549" s="2" t="str">
        <f>"2013"</f>
        <v>2013</v>
      </c>
      <c r="I1549" t="s">
        <v>14</v>
      </c>
      <c r="J1549" t="s">
        <v>15</v>
      </c>
    </row>
    <row r="1550" spans="1:10">
      <c r="A1550" s="2" t="str">
        <f>"1547"</f>
        <v>1547</v>
      </c>
      <c r="B1550" s="2" t="s">
        <v>9</v>
      </c>
      <c r="C1550" s="2" t="str">
        <f>"1 (1)"</f>
        <v>1 (1)</v>
      </c>
      <c r="D1550" s="2" t="s">
        <v>5144</v>
      </c>
      <c r="E1550" s="5" t="s">
        <v>5145</v>
      </c>
      <c r="F1550" s="3" t="s">
        <v>5146</v>
      </c>
      <c r="G1550" s="3" t="s">
        <v>2144</v>
      </c>
      <c r="H1550" s="2" t="str">
        <f>"2011"</f>
        <v>2011</v>
      </c>
      <c r="I1550" t="s">
        <v>14</v>
      </c>
      <c r="J1550" t="s">
        <v>15</v>
      </c>
    </row>
    <row r="1551" spans="1:10">
      <c r="A1551" s="2" t="str">
        <f>"1548"</f>
        <v>1548</v>
      </c>
      <c r="B1551" s="2" t="s">
        <v>9</v>
      </c>
      <c r="C1551" s="2" t="str">
        <f>"1 (1)"</f>
        <v>1 (1)</v>
      </c>
      <c r="D1551" s="2" t="s">
        <v>5147</v>
      </c>
      <c r="E1551" s="5" t="s">
        <v>5148</v>
      </c>
      <c r="F1551" s="3" t="s">
        <v>5149</v>
      </c>
      <c r="G1551" s="3" t="s">
        <v>2438</v>
      </c>
      <c r="H1551" s="2" t="str">
        <f>"2012"</f>
        <v>2012</v>
      </c>
      <c r="I1551" t="s">
        <v>14</v>
      </c>
      <c r="J1551" t="s">
        <v>15</v>
      </c>
    </row>
    <row r="1552" spans="1:10">
      <c r="A1552" s="2" t="str">
        <f>"1549"</f>
        <v>1549</v>
      </c>
      <c r="B1552" s="2" t="s">
        <v>9</v>
      </c>
      <c r="C1552" s="2" t="str">
        <f>"1 (1)"</f>
        <v>1 (1)</v>
      </c>
      <c r="D1552" s="2" t="s">
        <v>5150</v>
      </c>
      <c r="E1552" s="5" t="s">
        <v>5151</v>
      </c>
      <c r="F1552" s="3" t="s">
        <v>5152</v>
      </c>
      <c r="G1552" s="3" t="s">
        <v>5153</v>
      </c>
      <c r="H1552" s="2" t="str">
        <f>"2012"</f>
        <v>2012</v>
      </c>
      <c r="I1552" t="s">
        <v>14</v>
      </c>
      <c r="J1552" t="s">
        <v>15</v>
      </c>
    </row>
    <row r="1553" spans="1:10">
      <c r="A1553" s="2" t="str">
        <f>"1550"</f>
        <v>1550</v>
      </c>
      <c r="B1553" s="2" t="s">
        <v>9</v>
      </c>
      <c r="C1553" s="2" t="str">
        <f>"1 (1)"</f>
        <v>1 (1)</v>
      </c>
      <c r="D1553" s="2" t="s">
        <v>5154</v>
      </c>
      <c r="E1553" s="5" t="s">
        <v>5155</v>
      </c>
      <c r="F1553" s="3" t="s">
        <v>5156</v>
      </c>
      <c r="G1553" s="3" t="s">
        <v>2325</v>
      </c>
      <c r="H1553" s="2" t="str">
        <f>"2013"</f>
        <v>2013</v>
      </c>
      <c r="I1553" t="s">
        <v>14</v>
      </c>
      <c r="J1553" t="s">
        <v>15</v>
      </c>
    </row>
    <row r="1554" spans="1:10">
      <c r="A1554" s="2" t="str">
        <f>"1551"</f>
        <v>1551</v>
      </c>
      <c r="B1554" s="2" t="s">
        <v>9</v>
      </c>
      <c r="C1554" s="2" t="str">
        <f>"1 (1)"</f>
        <v>1 (1)</v>
      </c>
      <c r="D1554" s="2" t="s">
        <v>5157</v>
      </c>
      <c r="E1554" s="5" t="s">
        <v>5158</v>
      </c>
      <c r="F1554" s="3" t="s">
        <v>5159</v>
      </c>
      <c r="G1554" s="3" t="s">
        <v>3012</v>
      </c>
      <c r="H1554" s="2" t="str">
        <f>"2013"</f>
        <v>2013</v>
      </c>
      <c r="I1554" t="s">
        <v>14</v>
      </c>
      <c r="J1554" t="s">
        <v>15</v>
      </c>
    </row>
    <row r="1555" spans="1:10">
      <c r="A1555" s="2" t="str">
        <f>"1552"</f>
        <v>1552</v>
      </c>
      <c r="B1555" s="2" t="s">
        <v>9</v>
      </c>
      <c r="C1555" s="2" t="str">
        <f>"1 (1)"</f>
        <v>1 (1)</v>
      </c>
      <c r="D1555" s="2" t="s">
        <v>5160</v>
      </c>
      <c r="E1555" s="5" t="s">
        <v>5161</v>
      </c>
      <c r="F1555" s="3" t="s">
        <v>5162</v>
      </c>
      <c r="G1555" s="3" t="s">
        <v>5163</v>
      </c>
      <c r="H1555" s="2" t="str">
        <f>"2012"</f>
        <v>2012</v>
      </c>
      <c r="I1555" t="s">
        <v>14</v>
      </c>
      <c r="J1555" t="s">
        <v>15</v>
      </c>
    </row>
    <row r="1556" spans="1:10">
      <c r="A1556" s="2" t="str">
        <f>"1553"</f>
        <v>1553</v>
      </c>
      <c r="B1556" s="2" t="s">
        <v>9</v>
      </c>
      <c r="C1556" s="2" t="str">
        <f>"1 (1)"</f>
        <v>1 (1)</v>
      </c>
      <c r="D1556" s="2" t="s">
        <v>5164</v>
      </c>
      <c r="E1556" s="5" t="s">
        <v>5165</v>
      </c>
      <c r="F1556" s="3" t="s">
        <v>5166</v>
      </c>
      <c r="G1556" s="3" t="s">
        <v>5167</v>
      </c>
      <c r="H1556" s="2" t="str">
        <f>"2013"</f>
        <v>2013</v>
      </c>
      <c r="I1556" t="s">
        <v>14</v>
      </c>
      <c r="J1556" t="s">
        <v>15</v>
      </c>
    </row>
    <row r="1557" spans="1:10">
      <c r="A1557" s="2" t="str">
        <f>"1554"</f>
        <v>1554</v>
      </c>
      <c r="B1557" s="2" t="s">
        <v>9</v>
      </c>
      <c r="C1557" s="2" t="str">
        <f>"1 (1)"</f>
        <v>1 (1)</v>
      </c>
      <c r="D1557" s="2" t="s">
        <v>5168</v>
      </c>
      <c r="E1557" s="5" t="s">
        <v>5169</v>
      </c>
      <c r="F1557" s="3" t="s">
        <v>5170</v>
      </c>
      <c r="G1557" s="3" t="s">
        <v>5167</v>
      </c>
      <c r="H1557" s="2" t="str">
        <f>"2013"</f>
        <v>2013</v>
      </c>
      <c r="I1557" t="s">
        <v>14</v>
      </c>
      <c r="J1557" t="s">
        <v>15</v>
      </c>
    </row>
    <row r="1558" spans="1:10">
      <c r="A1558" s="2" t="str">
        <f>"1555"</f>
        <v>1555</v>
      </c>
      <c r="B1558" s="2" t="s">
        <v>9</v>
      </c>
      <c r="C1558" s="2" t="str">
        <f>"1 (1)"</f>
        <v>1 (1)</v>
      </c>
      <c r="D1558" s="2" t="s">
        <v>5171</v>
      </c>
      <c r="E1558" s="5" t="s">
        <v>5172</v>
      </c>
      <c r="F1558" s="3" t="s">
        <v>5173</v>
      </c>
      <c r="G1558" s="3" t="s">
        <v>5174</v>
      </c>
      <c r="H1558" s="2" t="str">
        <f>"2013"</f>
        <v>2013</v>
      </c>
      <c r="I1558" t="s">
        <v>14</v>
      </c>
      <c r="J1558" t="s">
        <v>15</v>
      </c>
    </row>
    <row r="1559" spans="1:10">
      <c r="A1559" s="2" t="str">
        <f>"1556"</f>
        <v>1556</v>
      </c>
      <c r="B1559" s="2" t="s">
        <v>9</v>
      </c>
      <c r="C1559" s="2" t="str">
        <f>"1 (1)"</f>
        <v>1 (1)</v>
      </c>
      <c r="D1559" s="2" t="s">
        <v>5175</v>
      </c>
      <c r="E1559" s="5" t="s">
        <v>5176</v>
      </c>
      <c r="F1559" s="3" t="s">
        <v>5177</v>
      </c>
      <c r="G1559" s="3" t="s">
        <v>5116</v>
      </c>
      <c r="H1559" s="2" t="str">
        <f>"2013"</f>
        <v>2013</v>
      </c>
      <c r="I1559" t="s">
        <v>14</v>
      </c>
      <c r="J1559" t="s">
        <v>15</v>
      </c>
    </row>
    <row r="1560" spans="1:10">
      <c r="A1560" s="2" t="str">
        <f>"1557"</f>
        <v>1557</v>
      </c>
      <c r="B1560" s="2" t="s">
        <v>9</v>
      </c>
      <c r="C1560" s="2" t="str">
        <f>"1 (1)"</f>
        <v>1 (1)</v>
      </c>
      <c r="D1560" s="2" t="s">
        <v>5178</v>
      </c>
      <c r="E1560" s="5" t="s">
        <v>5179</v>
      </c>
      <c r="F1560" s="3" t="s">
        <v>5180</v>
      </c>
      <c r="G1560" s="3" t="s">
        <v>1909</v>
      </c>
      <c r="H1560" s="2" t="str">
        <f>"2013"</f>
        <v>2013</v>
      </c>
      <c r="I1560" t="s">
        <v>14</v>
      </c>
      <c r="J1560" t="s">
        <v>15</v>
      </c>
    </row>
    <row r="1561" spans="1:10">
      <c r="A1561" s="2" t="str">
        <f>"1558"</f>
        <v>1558</v>
      </c>
      <c r="B1561" s="2" t="s">
        <v>9</v>
      </c>
      <c r="C1561" s="2" t="str">
        <f>"1 (1)"</f>
        <v>1 (1)</v>
      </c>
      <c r="D1561" s="2" t="s">
        <v>5181</v>
      </c>
      <c r="E1561" s="5" t="s">
        <v>5182</v>
      </c>
      <c r="F1561" s="3" t="s">
        <v>5183</v>
      </c>
      <c r="G1561" s="3" t="s">
        <v>4369</v>
      </c>
      <c r="H1561" s="2" t="str">
        <f>"2012"</f>
        <v>2012</v>
      </c>
      <c r="I1561" t="s">
        <v>14</v>
      </c>
      <c r="J1561" t="s">
        <v>15</v>
      </c>
    </row>
    <row r="1562" spans="1:10">
      <c r="A1562" s="2" t="str">
        <f>"1559"</f>
        <v>1559</v>
      </c>
      <c r="B1562" s="2" t="s">
        <v>9</v>
      </c>
      <c r="C1562" s="2" t="str">
        <f>"1 (1)"</f>
        <v>1 (1)</v>
      </c>
      <c r="D1562" s="2" t="s">
        <v>5184</v>
      </c>
      <c r="E1562" s="5" t="s">
        <v>5185</v>
      </c>
      <c r="F1562" s="3" t="s">
        <v>5186</v>
      </c>
      <c r="G1562" s="3" t="s">
        <v>5187</v>
      </c>
      <c r="H1562" s="2" t="str">
        <f>"2013"</f>
        <v>2013</v>
      </c>
      <c r="I1562" t="s">
        <v>14</v>
      </c>
      <c r="J1562" t="s">
        <v>15</v>
      </c>
    </row>
    <row r="1563" spans="1:10">
      <c r="A1563" s="2" t="str">
        <f>"1560"</f>
        <v>1560</v>
      </c>
      <c r="B1563" s="2" t="s">
        <v>9</v>
      </c>
      <c r="C1563" s="2" t="str">
        <f>"1 (1)"</f>
        <v>1 (1)</v>
      </c>
      <c r="D1563" s="2" t="s">
        <v>5188</v>
      </c>
      <c r="E1563" s="5" t="s">
        <v>5189</v>
      </c>
      <c r="F1563" s="3" t="s">
        <v>5190</v>
      </c>
      <c r="G1563" s="3" t="s">
        <v>5191</v>
      </c>
      <c r="H1563" s="2" t="str">
        <f>"2012"</f>
        <v>2012</v>
      </c>
      <c r="I1563" t="s">
        <v>14</v>
      </c>
      <c r="J1563" t="s">
        <v>15</v>
      </c>
    </row>
    <row r="1564" spans="1:10">
      <c r="A1564" s="2" t="str">
        <f>"1561"</f>
        <v>1561</v>
      </c>
      <c r="B1564" s="2" t="s">
        <v>9</v>
      </c>
      <c r="C1564" s="2" t="str">
        <f>"1 (1)"</f>
        <v>1 (1)</v>
      </c>
      <c r="D1564" s="2" t="s">
        <v>5192</v>
      </c>
      <c r="E1564" s="5" t="s">
        <v>5193</v>
      </c>
      <c r="F1564" s="3" t="s">
        <v>5194</v>
      </c>
      <c r="G1564" s="3" t="s">
        <v>5195</v>
      </c>
      <c r="H1564" s="2" t="str">
        <f>"2013"</f>
        <v>2013</v>
      </c>
      <c r="I1564" t="s">
        <v>14</v>
      </c>
      <c r="J1564" t="s">
        <v>15</v>
      </c>
    </row>
    <row r="1565" spans="1:10">
      <c r="A1565" s="2" t="str">
        <f>"1562"</f>
        <v>1562</v>
      </c>
      <c r="B1565" s="2" t="s">
        <v>9</v>
      </c>
      <c r="C1565" s="2" t="str">
        <f>"1 (1)"</f>
        <v>1 (1)</v>
      </c>
      <c r="D1565" s="2" t="s">
        <v>5196</v>
      </c>
      <c r="E1565" s="5" t="s">
        <v>5197</v>
      </c>
      <c r="F1565" s="3" t="s">
        <v>5198</v>
      </c>
      <c r="G1565" s="3" t="s">
        <v>5199</v>
      </c>
      <c r="H1565" s="2" t="str">
        <f>"2012"</f>
        <v>2012</v>
      </c>
      <c r="I1565" t="s">
        <v>14</v>
      </c>
      <c r="J1565" t="s">
        <v>15</v>
      </c>
    </row>
    <row r="1566" spans="1:10">
      <c r="A1566" s="2" t="str">
        <f>"1563"</f>
        <v>1563</v>
      </c>
      <c r="B1566" s="2" t="s">
        <v>9</v>
      </c>
      <c r="C1566" s="2" t="str">
        <f>"1 (1)"</f>
        <v>1 (1)</v>
      </c>
      <c r="D1566" s="2" t="s">
        <v>5200</v>
      </c>
      <c r="E1566" s="5" t="s">
        <v>5201</v>
      </c>
      <c r="F1566" s="3" t="s">
        <v>5202</v>
      </c>
      <c r="G1566" s="3" t="s">
        <v>5203</v>
      </c>
      <c r="H1566" s="2" t="str">
        <f>"2013"</f>
        <v>2013</v>
      </c>
      <c r="I1566" t="s">
        <v>14</v>
      </c>
      <c r="J1566" t="s">
        <v>15</v>
      </c>
    </row>
    <row r="1567" spans="1:10">
      <c r="A1567" s="2" t="str">
        <f>"1564"</f>
        <v>1564</v>
      </c>
      <c r="B1567" s="2" t="s">
        <v>9</v>
      </c>
      <c r="C1567" s="2" t="str">
        <f>"1 (1)"</f>
        <v>1 (1)</v>
      </c>
      <c r="D1567" s="2" t="s">
        <v>5204</v>
      </c>
      <c r="E1567" s="5" t="s">
        <v>5205</v>
      </c>
      <c r="F1567" s="3" t="s">
        <v>5206</v>
      </c>
      <c r="G1567" s="3" t="s">
        <v>5207</v>
      </c>
      <c r="H1567" s="2" t="str">
        <f>"2013"</f>
        <v>2013</v>
      </c>
      <c r="I1567" t="s">
        <v>14</v>
      </c>
      <c r="J1567" t="s">
        <v>15</v>
      </c>
    </row>
    <row r="1568" spans="1:10">
      <c r="A1568" s="2" t="str">
        <f>"1565"</f>
        <v>1565</v>
      </c>
      <c r="B1568" s="2" t="s">
        <v>9</v>
      </c>
      <c r="C1568" s="2" t="str">
        <f>"1 (1)"</f>
        <v>1 (1)</v>
      </c>
      <c r="D1568" s="2" t="s">
        <v>5208</v>
      </c>
      <c r="E1568" s="5" t="s">
        <v>5209</v>
      </c>
      <c r="F1568" s="3" t="s">
        <v>5210</v>
      </c>
      <c r="G1568" s="3" t="s">
        <v>5134</v>
      </c>
      <c r="H1568" s="2" t="str">
        <f>"2013"</f>
        <v>2013</v>
      </c>
      <c r="I1568" t="s">
        <v>14</v>
      </c>
      <c r="J1568" t="s">
        <v>15</v>
      </c>
    </row>
    <row r="1569" spans="1:10">
      <c r="A1569" s="2" t="str">
        <f>"1566"</f>
        <v>1566</v>
      </c>
      <c r="B1569" s="2" t="s">
        <v>9</v>
      </c>
      <c r="C1569" s="2" t="str">
        <f>"1 (1)"</f>
        <v>1 (1)</v>
      </c>
      <c r="D1569" s="2" t="s">
        <v>5211</v>
      </c>
      <c r="E1569" s="5" t="s">
        <v>5212</v>
      </c>
      <c r="F1569" s="3" t="s">
        <v>5213</v>
      </c>
      <c r="G1569" s="3" t="s">
        <v>5214</v>
      </c>
      <c r="H1569" s="2" t="str">
        <f>"2013"</f>
        <v>2013</v>
      </c>
      <c r="I1569" t="s">
        <v>14</v>
      </c>
      <c r="J1569" t="s">
        <v>15</v>
      </c>
    </row>
    <row r="1570" spans="1:10">
      <c r="A1570" s="2" t="str">
        <f>"1567"</f>
        <v>1567</v>
      </c>
      <c r="B1570" s="2" t="s">
        <v>9</v>
      </c>
      <c r="C1570" s="2" t="str">
        <f>"1 (1)"</f>
        <v>1 (1)</v>
      </c>
      <c r="D1570" s="2" t="s">
        <v>5215</v>
      </c>
      <c r="E1570" s="5" t="s">
        <v>5216</v>
      </c>
      <c r="F1570" s="3" t="s">
        <v>5217</v>
      </c>
      <c r="G1570" s="3" t="s">
        <v>3407</v>
      </c>
      <c r="H1570" s="2" t="str">
        <f>"2012"</f>
        <v>2012</v>
      </c>
      <c r="I1570" t="s">
        <v>14</v>
      </c>
      <c r="J1570" t="s">
        <v>15</v>
      </c>
    </row>
    <row r="1571" spans="1:10">
      <c r="A1571" s="2" t="str">
        <f>"1568"</f>
        <v>1568</v>
      </c>
      <c r="B1571" s="2" t="s">
        <v>9</v>
      </c>
      <c r="C1571" s="2" t="str">
        <f>"1 (1)"</f>
        <v>1 (1)</v>
      </c>
      <c r="D1571" s="2" t="s">
        <v>5218</v>
      </c>
      <c r="E1571" s="5" t="s">
        <v>5219</v>
      </c>
      <c r="F1571" s="3" t="s">
        <v>5220</v>
      </c>
      <c r="G1571" s="3" t="s">
        <v>5221</v>
      </c>
      <c r="H1571" s="2" t="str">
        <f>"2012"</f>
        <v>2012</v>
      </c>
      <c r="I1571" t="s">
        <v>14</v>
      </c>
      <c r="J1571" t="s">
        <v>15</v>
      </c>
    </row>
    <row r="1572" spans="1:10">
      <c r="A1572" s="2" t="str">
        <f>"1569"</f>
        <v>1569</v>
      </c>
      <c r="B1572" s="2" t="s">
        <v>9</v>
      </c>
      <c r="C1572" s="2" t="str">
        <f>"1 (1)"</f>
        <v>1 (1)</v>
      </c>
      <c r="D1572" s="2" t="s">
        <v>5222</v>
      </c>
      <c r="E1572" s="5" t="s">
        <v>5223</v>
      </c>
      <c r="F1572" s="3" t="s">
        <v>5224</v>
      </c>
      <c r="G1572" s="3" t="s">
        <v>5225</v>
      </c>
      <c r="H1572" s="2" t="str">
        <f>"2013"</f>
        <v>2013</v>
      </c>
      <c r="I1572" t="s">
        <v>14</v>
      </c>
      <c r="J1572" t="s">
        <v>15</v>
      </c>
    </row>
    <row r="1573" spans="1:10">
      <c r="A1573" s="2" t="str">
        <f>"1570"</f>
        <v>1570</v>
      </c>
      <c r="B1573" s="2" t="s">
        <v>9</v>
      </c>
      <c r="C1573" s="2" t="str">
        <f>"1 (1)"</f>
        <v>1 (1)</v>
      </c>
      <c r="D1573" s="2" t="s">
        <v>5226</v>
      </c>
      <c r="E1573" s="5" t="s">
        <v>5227</v>
      </c>
      <c r="F1573" s="3" t="s">
        <v>5228</v>
      </c>
      <c r="G1573" s="3" t="s">
        <v>2076</v>
      </c>
      <c r="H1573" s="2" t="str">
        <f>"2013"</f>
        <v>2013</v>
      </c>
      <c r="I1573" t="s">
        <v>14</v>
      </c>
      <c r="J1573" t="s">
        <v>15</v>
      </c>
    </row>
    <row r="1574" spans="1:10">
      <c r="A1574" s="2" t="str">
        <f>"1571"</f>
        <v>1571</v>
      </c>
      <c r="B1574" s="2" t="s">
        <v>9</v>
      </c>
      <c r="C1574" s="2" t="str">
        <f>"1 (1)"</f>
        <v>1 (1)</v>
      </c>
      <c r="D1574" s="2" t="s">
        <v>5229</v>
      </c>
      <c r="E1574" s="5" t="s">
        <v>5230</v>
      </c>
      <c r="F1574" s="3" t="s">
        <v>5231</v>
      </c>
      <c r="G1574" s="3" t="s">
        <v>4125</v>
      </c>
      <c r="H1574" s="2" t="str">
        <f>"2013"</f>
        <v>2013</v>
      </c>
      <c r="I1574" t="s">
        <v>14</v>
      </c>
      <c r="J1574" t="s">
        <v>15</v>
      </c>
    </row>
    <row r="1575" spans="1:10">
      <c r="A1575" s="2" t="str">
        <f>"1572"</f>
        <v>1572</v>
      </c>
      <c r="B1575" s="2" t="s">
        <v>9</v>
      </c>
      <c r="C1575" s="2" t="str">
        <f>"1 (1)"</f>
        <v>1 (1)</v>
      </c>
      <c r="D1575" s="2" t="s">
        <v>5232</v>
      </c>
      <c r="E1575" s="5" t="s">
        <v>5233</v>
      </c>
      <c r="F1575" s="3" t="s">
        <v>5234</v>
      </c>
      <c r="G1575" s="3" t="s">
        <v>5235</v>
      </c>
      <c r="H1575" s="2" t="str">
        <f>"2013"</f>
        <v>2013</v>
      </c>
      <c r="I1575" t="s">
        <v>14</v>
      </c>
      <c r="J1575" t="s">
        <v>15</v>
      </c>
    </row>
    <row r="1576" spans="1:10">
      <c r="A1576" s="2" t="str">
        <f>"1573"</f>
        <v>1573</v>
      </c>
      <c r="B1576" s="2" t="s">
        <v>9</v>
      </c>
      <c r="C1576" s="2" t="str">
        <f>"1 (1)"</f>
        <v>1 (1)</v>
      </c>
      <c r="D1576" s="2" t="s">
        <v>5236</v>
      </c>
      <c r="E1576" s="5" t="s">
        <v>5237</v>
      </c>
      <c r="F1576" s="3" t="s">
        <v>5238</v>
      </c>
      <c r="G1576" s="3" t="s">
        <v>5239</v>
      </c>
      <c r="H1576" s="2" t="str">
        <f>"2013"</f>
        <v>2013</v>
      </c>
      <c r="I1576" t="s">
        <v>14</v>
      </c>
      <c r="J1576" t="s">
        <v>15</v>
      </c>
    </row>
    <row r="1577" spans="1:10">
      <c r="A1577" s="2" t="str">
        <f>"1574"</f>
        <v>1574</v>
      </c>
      <c r="B1577" s="2" t="s">
        <v>9</v>
      </c>
      <c r="C1577" s="2" t="str">
        <f>"1 (1)"</f>
        <v>1 (1)</v>
      </c>
      <c r="D1577" s="2" t="s">
        <v>5240</v>
      </c>
      <c r="E1577" s="5" t="s">
        <v>5241</v>
      </c>
      <c r="F1577" s="3" t="s">
        <v>5242</v>
      </c>
      <c r="G1577" s="3" t="s">
        <v>3614</v>
      </c>
      <c r="H1577" s="2" t="str">
        <f>"2012"</f>
        <v>2012</v>
      </c>
      <c r="I1577" t="s">
        <v>14</v>
      </c>
      <c r="J1577" t="s">
        <v>15</v>
      </c>
    </row>
    <row r="1578" spans="1:10">
      <c r="A1578" s="2" t="str">
        <f>"1575"</f>
        <v>1575</v>
      </c>
      <c r="B1578" s="2" t="s">
        <v>9</v>
      </c>
      <c r="C1578" s="2" t="str">
        <f>"1 (1)"</f>
        <v>1 (1)</v>
      </c>
      <c r="D1578" s="2" t="s">
        <v>5243</v>
      </c>
      <c r="E1578" s="5" t="s">
        <v>5244</v>
      </c>
      <c r="F1578" s="3" t="s">
        <v>5245</v>
      </c>
      <c r="G1578" s="3" t="s">
        <v>443</v>
      </c>
      <c r="H1578" s="2" t="str">
        <f>"2013"</f>
        <v>2013</v>
      </c>
      <c r="I1578" t="s">
        <v>14</v>
      </c>
      <c r="J1578" t="s">
        <v>15</v>
      </c>
    </row>
    <row r="1579" spans="1:10">
      <c r="A1579" s="2" t="str">
        <f>"1576"</f>
        <v>1576</v>
      </c>
      <c r="B1579" s="2" t="s">
        <v>9</v>
      </c>
      <c r="C1579" s="2" t="str">
        <f>"1 (1)"</f>
        <v>1 (1)</v>
      </c>
      <c r="D1579" s="2" t="s">
        <v>5246</v>
      </c>
      <c r="E1579" s="5" t="s">
        <v>5247</v>
      </c>
      <c r="F1579" s="3" t="s">
        <v>5248</v>
      </c>
      <c r="G1579" s="3" t="s">
        <v>5249</v>
      </c>
      <c r="H1579" s="2" t="str">
        <f>"2013"</f>
        <v>2013</v>
      </c>
      <c r="I1579" t="s">
        <v>14</v>
      </c>
      <c r="J1579" t="s">
        <v>15</v>
      </c>
    </row>
    <row r="1580" spans="1:10">
      <c r="A1580" s="2" t="str">
        <f>"1577"</f>
        <v>1577</v>
      </c>
      <c r="B1580" s="2" t="s">
        <v>9</v>
      </c>
      <c r="C1580" s="2" t="str">
        <f>"1 (1)"</f>
        <v>1 (1)</v>
      </c>
      <c r="D1580" s="2" t="s">
        <v>5250</v>
      </c>
      <c r="E1580" s="5" t="s">
        <v>5251</v>
      </c>
      <c r="F1580" s="3" t="s">
        <v>5252</v>
      </c>
      <c r="G1580" s="3" t="s">
        <v>5253</v>
      </c>
      <c r="H1580" s="2" t="str">
        <f>"2013"</f>
        <v>2013</v>
      </c>
      <c r="I1580" t="s">
        <v>14</v>
      </c>
      <c r="J1580" t="s">
        <v>15</v>
      </c>
    </row>
    <row r="1581" spans="1:10">
      <c r="A1581" s="2" t="str">
        <f>"1578"</f>
        <v>1578</v>
      </c>
      <c r="B1581" s="2" t="s">
        <v>9</v>
      </c>
      <c r="C1581" s="2" t="str">
        <f>"1 (1)"</f>
        <v>1 (1)</v>
      </c>
      <c r="D1581" s="2" t="s">
        <v>5254</v>
      </c>
      <c r="E1581" s="5" t="s">
        <v>5255</v>
      </c>
      <c r="F1581" s="3" t="s">
        <v>5256</v>
      </c>
      <c r="G1581" s="3" t="s">
        <v>3198</v>
      </c>
      <c r="H1581" s="2" t="str">
        <f>"2012"</f>
        <v>2012</v>
      </c>
      <c r="I1581" t="s">
        <v>14</v>
      </c>
      <c r="J1581" t="s">
        <v>15</v>
      </c>
    </row>
    <row r="1582" spans="1:10">
      <c r="A1582" s="2" t="str">
        <f>"1579"</f>
        <v>1579</v>
      </c>
      <c r="B1582" s="2" t="s">
        <v>9</v>
      </c>
      <c r="C1582" s="2" t="str">
        <f>"1 (1)"</f>
        <v>1 (1)</v>
      </c>
      <c r="D1582" s="2" t="s">
        <v>5257</v>
      </c>
      <c r="E1582" s="5" t="s">
        <v>5258</v>
      </c>
      <c r="F1582" s="3" t="s">
        <v>5259</v>
      </c>
      <c r="G1582" s="3" t="s">
        <v>5260</v>
      </c>
      <c r="H1582" s="2" t="str">
        <f>"2013"</f>
        <v>2013</v>
      </c>
      <c r="I1582" t="s">
        <v>14</v>
      </c>
      <c r="J1582" t="s">
        <v>15</v>
      </c>
    </row>
    <row r="1583" spans="1:10">
      <c r="A1583" s="2" t="str">
        <f>"1580"</f>
        <v>1580</v>
      </c>
      <c r="B1583" s="2" t="s">
        <v>9</v>
      </c>
      <c r="C1583" s="2" t="str">
        <f>"1 (1)"</f>
        <v>1 (1)</v>
      </c>
      <c r="D1583" s="2" t="s">
        <v>5261</v>
      </c>
      <c r="E1583" s="5" t="s">
        <v>5262</v>
      </c>
      <c r="F1583" s="3" t="s">
        <v>5263</v>
      </c>
      <c r="G1583" s="3" t="s">
        <v>2297</v>
      </c>
      <c r="H1583" s="2" t="str">
        <f>"2013"</f>
        <v>2013</v>
      </c>
      <c r="I1583" t="s">
        <v>14</v>
      </c>
      <c r="J1583" t="s">
        <v>15</v>
      </c>
    </row>
    <row r="1584" spans="1:10">
      <c r="A1584" s="2" t="str">
        <f>"1581"</f>
        <v>1581</v>
      </c>
      <c r="B1584" s="2" t="s">
        <v>9</v>
      </c>
      <c r="C1584" s="2" t="str">
        <f>"1 (1)"</f>
        <v>1 (1)</v>
      </c>
      <c r="D1584" s="2" t="s">
        <v>5264</v>
      </c>
      <c r="E1584" s="5" t="s">
        <v>5265</v>
      </c>
      <c r="F1584" s="3" t="s">
        <v>5266</v>
      </c>
      <c r="G1584" s="3" t="s">
        <v>1010</v>
      </c>
      <c r="H1584" s="2" t="str">
        <f>"2012"</f>
        <v>2012</v>
      </c>
      <c r="I1584" t="s">
        <v>14</v>
      </c>
      <c r="J1584" t="s">
        <v>15</v>
      </c>
    </row>
    <row r="1585" spans="1:10">
      <c r="A1585" s="2" t="str">
        <f>"1582"</f>
        <v>1582</v>
      </c>
      <c r="B1585" s="2" t="s">
        <v>9</v>
      </c>
      <c r="C1585" s="2" t="str">
        <f>"1 (1)"</f>
        <v>1 (1)</v>
      </c>
      <c r="D1585" s="2" t="s">
        <v>5267</v>
      </c>
      <c r="E1585" s="5" t="s">
        <v>5268</v>
      </c>
      <c r="F1585" s="3" t="s">
        <v>5269</v>
      </c>
      <c r="G1585" s="3" t="s">
        <v>5270</v>
      </c>
      <c r="H1585" s="2" t="str">
        <f>"2013"</f>
        <v>2013</v>
      </c>
      <c r="I1585" t="s">
        <v>14</v>
      </c>
      <c r="J1585" t="s">
        <v>15</v>
      </c>
    </row>
    <row r="1586" spans="1:10">
      <c r="A1586" s="2" t="str">
        <f>"1583"</f>
        <v>1583</v>
      </c>
      <c r="B1586" s="2" t="s">
        <v>9</v>
      </c>
      <c r="C1586" s="2" t="str">
        <f>"1 (1)"</f>
        <v>1 (1)</v>
      </c>
      <c r="D1586" s="2" t="s">
        <v>5271</v>
      </c>
      <c r="E1586" s="5" t="s">
        <v>5272</v>
      </c>
      <c r="F1586" s="3" t="s">
        <v>5273</v>
      </c>
      <c r="G1586" s="3" t="s">
        <v>1913</v>
      </c>
      <c r="H1586" s="2" t="str">
        <f>"2013"</f>
        <v>2013</v>
      </c>
      <c r="I1586" t="s">
        <v>14</v>
      </c>
      <c r="J1586" t="s">
        <v>15</v>
      </c>
    </row>
    <row r="1587" spans="1:10">
      <c r="A1587" s="2" t="str">
        <f>"1584"</f>
        <v>1584</v>
      </c>
      <c r="B1587" s="2" t="s">
        <v>9</v>
      </c>
      <c r="C1587" s="2" t="str">
        <f>"1 (1)"</f>
        <v>1 (1)</v>
      </c>
      <c r="D1587" s="2" t="s">
        <v>5274</v>
      </c>
      <c r="E1587" s="5" t="s">
        <v>5275</v>
      </c>
      <c r="F1587" s="3" t="s">
        <v>5276</v>
      </c>
      <c r="G1587" s="3" t="s">
        <v>5277</v>
      </c>
      <c r="H1587" s="2" t="str">
        <f>"2013"</f>
        <v>2013</v>
      </c>
      <c r="I1587" t="s">
        <v>14</v>
      </c>
      <c r="J1587" t="s">
        <v>15</v>
      </c>
    </row>
    <row r="1588" spans="1:10">
      <c r="A1588" s="2" t="str">
        <f>"1585"</f>
        <v>1585</v>
      </c>
      <c r="B1588" s="2" t="s">
        <v>9</v>
      </c>
      <c r="C1588" s="2" t="str">
        <f>"1 (1)"</f>
        <v>1 (1)</v>
      </c>
      <c r="D1588" s="2" t="s">
        <v>5278</v>
      </c>
      <c r="E1588" s="5" t="s">
        <v>5279</v>
      </c>
      <c r="F1588" s="3" t="s">
        <v>5280</v>
      </c>
      <c r="G1588" s="3" t="s">
        <v>5281</v>
      </c>
      <c r="H1588" s="2" t="str">
        <f>"2013"</f>
        <v>2013</v>
      </c>
      <c r="I1588" t="s">
        <v>14</v>
      </c>
      <c r="J1588" t="s">
        <v>15</v>
      </c>
    </row>
    <row r="1589" spans="1:10">
      <c r="A1589" s="2" t="str">
        <f>"1586"</f>
        <v>1586</v>
      </c>
      <c r="B1589" s="2" t="s">
        <v>9</v>
      </c>
      <c r="C1589" s="2" t="str">
        <f>"1 (1)"</f>
        <v>1 (1)</v>
      </c>
      <c r="D1589" s="2" t="s">
        <v>5282</v>
      </c>
      <c r="E1589" s="5" t="s">
        <v>5283</v>
      </c>
      <c r="F1589" s="3" t="s">
        <v>5284</v>
      </c>
      <c r="G1589" s="3" t="s">
        <v>5285</v>
      </c>
      <c r="H1589" s="2" t="str">
        <f>"2013"</f>
        <v>2013</v>
      </c>
      <c r="I1589" t="s">
        <v>14</v>
      </c>
      <c r="J1589" t="s">
        <v>15</v>
      </c>
    </row>
    <row r="1590" spans="1:10">
      <c r="A1590" s="2" t="str">
        <f>"1587"</f>
        <v>1587</v>
      </c>
      <c r="B1590" s="2" t="s">
        <v>9</v>
      </c>
      <c r="C1590" s="2" t="str">
        <f>"1 (1)"</f>
        <v>1 (1)</v>
      </c>
      <c r="D1590" s="2" t="s">
        <v>5286</v>
      </c>
      <c r="E1590" s="5" t="s">
        <v>5287</v>
      </c>
      <c r="F1590" s="3" t="s">
        <v>5288</v>
      </c>
      <c r="G1590" s="3" t="s">
        <v>1143</v>
      </c>
      <c r="H1590" s="2" t="str">
        <f>"2013"</f>
        <v>2013</v>
      </c>
      <c r="I1590" t="s">
        <v>14</v>
      </c>
      <c r="J1590" t="s">
        <v>15</v>
      </c>
    </row>
    <row r="1591" spans="1:10">
      <c r="A1591" s="2" t="str">
        <f>"1588"</f>
        <v>1588</v>
      </c>
      <c r="B1591" s="2" t="s">
        <v>9</v>
      </c>
      <c r="C1591" s="2" t="str">
        <f>"1 (1)"</f>
        <v>1 (1)</v>
      </c>
      <c r="D1591" s="2" t="s">
        <v>5289</v>
      </c>
      <c r="E1591" s="5" t="s">
        <v>5290</v>
      </c>
      <c r="F1591" s="3" t="s">
        <v>5291</v>
      </c>
      <c r="G1591" s="3" t="s">
        <v>1909</v>
      </c>
      <c r="H1591" s="2" t="str">
        <f>"2012"</f>
        <v>2012</v>
      </c>
      <c r="I1591" t="s">
        <v>14</v>
      </c>
      <c r="J1591" t="s">
        <v>15</v>
      </c>
    </row>
    <row r="1592" spans="1:10">
      <c r="A1592" s="2" t="str">
        <f>"1589"</f>
        <v>1589</v>
      </c>
      <c r="B1592" s="2" t="s">
        <v>9</v>
      </c>
      <c r="C1592" s="2" t="str">
        <f>"1 (1)"</f>
        <v>1 (1)</v>
      </c>
      <c r="D1592" s="2" t="s">
        <v>5292</v>
      </c>
      <c r="E1592" s="5" t="s">
        <v>5293</v>
      </c>
      <c r="F1592" s="3" t="s">
        <v>5294</v>
      </c>
      <c r="G1592" s="3" t="s">
        <v>3352</v>
      </c>
      <c r="H1592" s="2" t="str">
        <f>"2013"</f>
        <v>2013</v>
      </c>
      <c r="I1592" t="s">
        <v>14</v>
      </c>
      <c r="J1592" t="s">
        <v>15</v>
      </c>
    </row>
    <row r="1593" spans="1:10">
      <c r="A1593" s="2" t="str">
        <f>"1590"</f>
        <v>1590</v>
      </c>
      <c r="B1593" s="2" t="s">
        <v>9</v>
      </c>
      <c r="C1593" s="2" t="str">
        <f>"1 (1)"</f>
        <v>1 (1)</v>
      </c>
      <c r="D1593" s="2" t="s">
        <v>5295</v>
      </c>
      <c r="E1593" s="5" t="s">
        <v>5296</v>
      </c>
      <c r="F1593" s="3" t="s">
        <v>2704</v>
      </c>
      <c r="G1593" s="3" t="s">
        <v>5297</v>
      </c>
      <c r="H1593" s="2" t="str">
        <f>"2013"</f>
        <v>2013</v>
      </c>
      <c r="I1593" t="s">
        <v>14</v>
      </c>
      <c r="J1593" t="s">
        <v>15</v>
      </c>
    </row>
    <row r="1594" spans="1:10">
      <c r="A1594" s="2" t="str">
        <f>"1591"</f>
        <v>1591</v>
      </c>
      <c r="B1594" s="2" t="s">
        <v>9</v>
      </c>
      <c r="C1594" s="2" t="str">
        <f>"1 (1)"</f>
        <v>1 (1)</v>
      </c>
      <c r="D1594" s="2" t="s">
        <v>5298</v>
      </c>
      <c r="E1594" s="5" t="s">
        <v>5299</v>
      </c>
      <c r="F1594" s="3" t="s">
        <v>5300</v>
      </c>
      <c r="G1594" s="3" t="s">
        <v>5301</v>
      </c>
      <c r="H1594" s="2" t="str">
        <f>"2013"</f>
        <v>2013</v>
      </c>
      <c r="I1594" t="s">
        <v>14</v>
      </c>
      <c r="J1594" t="s">
        <v>15</v>
      </c>
    </row>
    <row r="1595" spans="1:10">
      <c r="A1595" s="2" t="str">
        <f>"1592"</f>
        <v>1592</v>
      </c>
      <c r="B1595" s="2" t="s">
        <v>9</v>
      </c>
      <c r="C1595" s="2" t="str">
        <f>"1 (1)"</f>
        <v>1 (1)</v>
      </c>
      <c r="D1595" s="2" t="s">
        <v>5302</v>
      </c>
      <c r="E1595" s="5" t="s">
        <v>5303</v>
      </c>
      <c r="F1595" s="3" t="s">
        <v>5300</v>
      </c>
      <c r="G1595" s="3" t="s">
        <v>5304</v>
      </c>
      <c r="H1595" s="2" t="str">
        <f>"2013"</f>
        <v>2013</v>
      </c>
      <c r="I1595" t="s">
        <v>14</v>
      </c>
      <c r="J1595" t="s">
        <v>15</v>
      </c>
    </row>
    <row r="1596" spans="1:10">
      <c r="A1596" s="2" t="str">
        <f>"1593"</f>
        <v>1593</v>
      </c>
      <c r="B1596" s="2" t="s">
        <v>9</v>
      </c>
      <c r="C1596" s="2" t="str">
        <f>"1 (1)"</f>
        <v>1 (1)</v>
      </c>
      <c r="D1596" s="2" t="s">
        <v>5305</v>
      </c>
      <c r="E1596" s="5" t="s">
        <v>5306</v>
      </c>
      <c r="F1596" s="3" t="s">
        <v>5307</v>
      </c>
      <c r="G1596" s="3" t="s">
        <v>5308</v>
      </c>
      <c r="H1596" s="2" t="str">
        <f>"2013"</f>
        <v>2013</v>
      </c>
      <c r="I1596" t="s">
        <v>14</v>
      </c>
      <c r="J1596" t="s">
        <v>15</v>
      </c>
    </row>
    <row r="1597" spans="1:10">
      <c r="A1597" s="2" t="str">
        <f>"1594"</f>
        <v>1594</v>
      </c>
      <c r="B1597" s="2" t="s">
        <v>9</v>
      </c>
      <c r="C1597" s="2" t="str">
        <f>"1 (1)"</f>
        <v>1 (1)</v>
      </c>
      <c r="D1597" s="2" t="s">
        <v>5309</v>
      </c>
      <c r="E1597" s="5" t="s">
        <v>5310</v>
      </c>
      <c r="F1597" s="3" t="s">
        <v>5311</v>
      </c>
      <c r="G1597" s="3" t="s">
        <v>5312</v>
      </c>
      <c r="H1597" s="2" t="str">
        <f>"2013"</f>
        <v>2013</v>
      </c>
      <c r="I1597" t="s">
        <v>14</v>
      </c>
      <c r="J1597" t="s">
        <v>15</v>
      </c>
    </row>
    <row r="1598" spans="1:10">
      <c r="A1598" s="2" t="str">
        <f>"1595"</f>
        <v>1595</v>
      </c>
      <c r="B1598" s="2" t="s">
        <v>9</v>
      </c>
      <c r="C1598" s="2" t="str">
        <f>"1 (1)"</f>
        <v>1 (1)</v>
      </c>
      <c r="D1598" s="2" t="s">
        <v>5313</v>
      </c>
      <c r="E1598" s="5" t="s">
        <v>5314</v>
      </c>
      <c r="F1598" s="3" t="s">
        <v>5315</v>
      </c>
      <c r="G1598" s="3" t="s">
        <v>4369</v>
      </c>
      <c r="H1598" s="2" t="str">
        <f>"2012"</f>
        <v>2012</v>
      </c>
      <c r="I1598" t="s">
        <v>14</v>
      </c>
      <c r="J1598" t="s">
        <v>15</v>
      </c>
    </row>
    <row r="1599" spans="1:10">
      <c r="A1599" s="2" t="str">
        <f>"1596"</f>
        <v>1596</v>
      </c>
      <c r="B1599" s="2" t="s">
        <v>9</v>
      </c>
      <c r="C1599" s="2" t="str">
        <f>"1 (1)"</f>
        <v>1 (1)</v>
      </c>
      <c r="D1599" s="2" t="s">
        <v>5316</v>
      </c>
      <c r="E1599" s="5" t="s">
        <v>5317</v>
      </c>
      <c r="F1599" s="3" t="s">
        <v>5318</v>
      </c>
      <c r="G1599" s="3" t="s">
        <v>5319</v>
      </c>
      <c r="H1599" s="2" t="str">
        <f>"2012"</f>
        <v>2012</v>
      </c>
      <c r="I1599" t="s">
        <v>14</v>
      </c>
      <c r="J1599" t="s">
        <v>15</v>
      </c>
    </row>
    <row r="1600" spans="1:10">
      <c r="A1600" s="2" t="str">
        <f>"1597"</f>
        <v>1597</v>
      </c>
      <c r="B1600" s="2" t="s">
        <v>9</v>
      </c>
      <c r="C1600" s="2" t="str">
        <f>"1 (1)"</f>
        <v>1 (1)</v>
      </c>
      <c r="D1600" s="2" t="s">
        <v>5320</v>
      </c>
      <c r="E1600" s="5" t="s">
        <v>5321</v>
      </c>
      <c r="F1600" s="3" t="s">
        <v>5322</v>
      </c>
      <c r="G1600" s="3" t="s">
        <v>5323</v>
      </c>
      <c r="H1600" s="2" t="str">
        <f>"2012"</f>
        <v>2012</v>
      </c>
      <c r="I1600" t="s">
        <v>14</v>
      </c>
      <c r="J1600" t="s">
        <v>15</v>
      </c>
    </row>
    <row r="1601" spans="1:10">
      <c r="A1601" s="2" t="str">
        <f>"1598"</f>
        <v>1598</v>
      </c>
      <c r="B1601" s="2" t="s">
        <v>9</v>
      </c>
      <c r="C1601" s="2" t="str">
        <f>"1 (1)"</f>
        <v>1 (1)</v>
      </c>
      <c r="D1601" s="2" t="s">
        <v>5324</v>
      </c>
      <c r="E1601" s="5" t="s">
        <v>5325</v>
      </c>
      <c r="F1601" s="3" t="s">
        <v>5326</v>
      </c>
      <c r="G1601" s="3" t="s">
        <v>5327</v>
      </c>
      <c r="H1601" s="2" t="str">
        <f>"2013"</f>
        <v>2013</v>
      </c>
      <c r="I1601" t="s">
        <v>14</v>
      </c>
      <c r="J1601" t="s">
        <v>15</v>
      </c>
    </row>
    <row r="1602" spans="1:10">
      <c r="A1602" s="2" t="str">
        <f>"1599"</f>
        <v>1599</v>
      </c>
      <c r="B1602" s="2" t="s">
        <v>9</v>
      </c>
      <c r="C1602" s="2" t="str">
        <f>"1 (1)"</f>
        <v>1 (1)</v>
      </c>
      <c r="D1602" s="2" t="s">
        <v>5328</v>
      </c>
      <c r="E1602" s="5" t="s">
        <v>5329</v>
      </c>
      <c r="F1602" s="3" t="s">
        <v>5330</v>
      </c>
      <c r="G1602" s="3" t="s">
        <v>3198</v>
      </c>
      <c r="H1602" s="2" t="str">
        <f>"2012"</f>
        <v>2012</v>
      </c>
      <c r="I1602" t="s">
        <v>14</v>
      </c>
      <c r="J1602" t="s">
        <v>15</v>
      </c>
    </row>
    <row r="1603" spans="1:10">
      <c r="A1603" s="2" t="str">
        <f>"1600"</f>
        <v>1600</v>
      </c>
      <c r="B1603" s="2" t="s">
        <v>9</v>
      </c>
      <c r="C1603" s="2" t="str">
        <f>"1 (1)"</f>
        <v>1 (1)</v>
      </c>
      <c r="D1603" s="2" t="s">
        <v>5331</v>
      </c>
      <c r="E1603" s="5" t="s">
        <v>5332</v>
      </c>
      <c r="F1603" s="3" t="s">
        <v>5333</v>
      </c>
      <c r="G1603" s="3" t="s">
        <v>4931</v>
      </c>
      <c r="H1603" s="2" t="str">
        <f>"2013"</f>
        <v>2013</v>
      </c>
      <c r="I1603" t="s">
        <v>14</v>
      </c>
      <c r="J1603" t="s">
        <v>15</v>
      </c>
    </row>
    <row r="1604" spans="1:10">
      <c r="A1604" s="2" t="str">
        <f>"1601"</f>
        <v>1601</v>
      </c>
      <c r="B1604" s="2" t="s">
        <v>9</v>
      </c>
      <c r="C1604" s="2" t="str">
        <f>"1 (1)"</f>
        <v>1 (1)</v>
      </c>
      <c r="D1604" s="2" t="s">
        <v>5334</v>
      </c>
      <c r="E1604" s="5" t="s">
        <v>5335</v>
      </c>
      <c r="F1604" s="3" t="s">
        <v>5336</v>
      </c>
      <c r="G1604" s="3" t="s">
        <v>5337</v>
      </c>
      <c r="H1604" s="2" t="str">
        <f>"2013"</f>
        <v>2013</v>
      </c>
      <c r="I1604" t="s">
        <v>14</v>
      </c>
      <c r="J1604" t="s">
        <v>15</v>
      </c>
    </row>
    <row r="1605" spans="1:10">
      <c r="A1605" s="2" t="str">
        <f>"1602"</f>
        <v>1602</v>
      </c>
      <c r="B1605" s="2" t="s">
        <v>9</v>
      </c>
      <c r="C1605" s="2" t="str">
        <f>"1 (1)"</f>
        <v>1 (1)</v>
      </c>
      <c r="D1605" s="2" t="s">
        <v>5338</v>
      </c>
      <c r="E1605" s="5" t="s">
        <v>5339</v>
      </c>
      <c r="F1605" s="3" t="s">
        <v>5340</v>
      </c>
      <c r="G1605" s="3" t="s">
        <v>5341</v>
      </c>
      <c r="H1605" s="2" t="str">
        <f>"2013"</f>
        <v>2013</v>
      </c>
      <c r="I1605" t="s">
        <v>14</v>
      </c>
      <c r="J1605" t="s">
        <v>15</v>
      </c>
    </row>
    <row r="1606" spans="1:10">
      <c r="A1606" s="2" t="str">
        <f>"1603"</f>
        <v>1603</v>
      </c>
      <c r="B1606" s="2" t="s">
        <v>9</v>
      </c>
      <c r="C1606" s="2" t="str">
        <f>"1 (1)"</f>
        <v>1 (1)</v>
      </c>
      <c r="D1606" s="2" t="s">
        <v>5342</v>
      </c>
      <c r="E1606" s="5" t="s">
        <v>5343</v>
      </c>
      <c r="F1606" s="3" t="s">
        <v>5344</v>
      </c>
      <c r="G1606" s="3" t="s">
        <v>5345</v>
      </c>
      <c r="H1606" s="2" t="str">
        <f>"2013"</f>
        <v>2013</v>
      </c>
      <c r="I1606" t="s">
        <v>14</v>
      </c>
      <c r="J1606" t="s">
        <v>15</v>
      </c>
    </row>
    <row r="1607" spans="1:10">
      <c r="A1607" s="2" t="str">
        <f>"1604"</f>
        <v>1604</v>
      </c>
      <c r="B1607" s="2" t="s">
        <v>9</v>
      </c>
      <c r="C1607" s="2" t="str">
        <f>"1 (1)"</f>
        <v>1 (1)</v>
      </c>
      <c r="D1607" s="2" t="s">
        <v>5346</v>
      </c>
      <c r="E1607" s="5" t="s">
        <v>5347</v>
      </c>
      <c r="F1607" s="3" t="s">
        <v>5348</v>
      </c>
      <c r="G1607" s="3" t="s">
        <v>5203</v>
      </c>
      <c r="H1607" s="2" t="str">
        <f>"2013"</f>
        <v>2013</v>
      </c>
      <c r="I1607" t="s">
        <v>14</v>
      </c>
      <c r="J1607" t="s">
        <v>15</v>
      </c>
    </row>
    <row r="1608" spans="1:10">
      <c r="A1608" s="2" t="str">
        <f>"1605"</f>
        <v>1605</v>
      </c>
      <c r="B1608" s="2" t="s">
        <v>9</v>
      </c>
      <c r="C1608" s="2" t="str">
        <f>"1 (1)"</f>
        <v>1 (1)</v>
      </c>
      <c r="D1608" s="2" t="s">
        <v>5349</v>
      </c>
      <c r="E1608" s="5" t="s">
        <v>5350</v>
      </c>
      <c r="F1608" s="3" t="s">
        <v>5351</v>
      </c>
      <c r="G1608" s="3" t="s">
        <v>5352</v>
      </c>
      <c r="H1608" s="2" t="str">
        <f>"2012"</f>
        <v>2012</v>
      </c>
      <c r="I1608" t="s">
        <v>14</v>
      </c>
      <c r="J1608" t="s">
        <v>15</v>
      </c>
    </row>
    <row r="1609" spans="1:10">
      <c r="A1609" s="2" t="str">
        <f>"1606"</f>
        <v>1606</v>
      </c>
      <c r="B1609" s="2" t="s">
        <v>9</v>
      </c>
      <c r="C1609" s="2" t="str">
        <f>"1 (1)"</f>
        <v>1 (1)</v>
      </c>
      <c r="D1609" s="2" t="s">
        <v>5353</v>
      </c>
      <c r="E1609" s="5" t="s">
        <v>5354</v>
      </c>
      <c r="F1609" s="3" t="s">
        <v>5355</v>
      </c>
      <c r="G1609" s="3" t="s">
        <v>443</v>
      </c>
      <c r="H1609" s="2" t="str">
        <f>"2013"</f>
        <v>2013</v>
      </c>
      <c r="I1609" t="s">
        <v>14</v>
      </c>
      <c r="J1609" t="s">
        <v>15</v>
      </c>
    </row>
    <row r="1610" spans="1:10">
      <c r="A1610" s="2" t="str">
        <f>"1607"</f>
        <v>1607</v>
      </c>
      <c r="B1610" s="2" t="s">
        <v>9</v>
      </c>
      <c r="C1610" s="2" t="str">
        <f>"1 (1)"</f>
        <v>1 (1)</v>
      </c>
      <c r="D1610" s="2" t="s">
        <v>5356</v>
      </c>
      <c r="E1610" s="5" t="s">
        <v>5357</v>
      </c>
      <c r="F1610" s="3" t="s">
        <v>5358</v>
      </c>
      <c r="G1610" s="3" t="s">
        <v>880</v>
      </c>
      <c r="H1610" s="2" t="str">
        <f>"2013"</f>
        <v>2013</v>
      </c>
      <c r="I1610" t="s">
        <v>14</v>
      </c>
      <c r="J1610" t="s">
        <v>15</v>
      </c>
    </row>
    <row r="1611" spans="1:10">
      <c r="A1611" s="2" t="str">
        <f>"1608"</f>
        <v>1608</v>
      </c>
      <c r="B1611" s="2" t="s">
        <v>9</v>
      </c>
      <c r="C1611" s="2" t="str">
        <f>"1 (1)"</f>
        <v>1 (1)</v>
      </c>
      <c r="D1611" s="2" t="s">
        <v>5359</v>
      </c>
      <c r="E1611" s="5" t="s">
        <v>5360</v>
      </c>
      <c r="F1611" s="3" t="s">
        <v>5361</v>
      </c>
      <c r="G1611" s="3" t="s">
        <v>5362</v>
      </c>
      <c r="H1611" s="2" t="str">
        <f>"2012"</f>
        <v>2012</v>
      </c>
      <c r="I1611" t="s">
        <v>14</v>
      </c>
      <c r="J1611" t="s">
        <v>15</v>
      </c>
    </row>
    <row r="1612" spans="1:10">
      <c r="A1612" s="2" t="str">
        <f>"1609"</f>
        <v>1609</v>
      </c>
      <c r="B1612" s="2" t="s">
        <v>9</v>
      </c>
      <c r="C1612" s="2" t="str">
        <f>"1 (1)"</f>
        <v>1 (1)</v>
      </c>
      <c r="D1612" s="2" t="s">
        <v>5363</v>
      </c>
      <c r="E1612" s="5" t="s">
        <v>5364</v>
      </c>
      <c r="F1612" s="3" t="s">
        <v>5365</v>
      </c>
      <c r="G1612" s="3" t="s">
        <v>1991</v>
      </c>
      <c r="H1612" s="2" t="str">
        <f>"2012"</f>
        <v>2012</v>
      </c>
      <c r="I1612" t="s">
        <v>14</v>
      </c>
      <c r="J1612" t="s">
        <v>15</v>
      </c>
    </row>
    <row r="1613" spans="1:10">
      <c r="A1613" s="2" t="str">
        <f>"1610"</f>
        <v>1610</v>
      </c>
      <c r="B1613" s="2" t="s">
        <v>9</v>
      </c>
      <c r="C1613" s="2" t="str">
        <f>"1 (1)"</f>
        <v>1 (1)</v>
      </c>
      <c r="D1613" s="2" t="s">
        <v>5366</v>
      </c>
      <c r="E1613" s="5" t="s">
        <v>5367</v>
      </c>
      <c r="F1613" s="3" t="s">
        <v>5368</v>
      </c>
      <c r="G1613" s="3" t="s">
        <v>5369</v>
      </c>
      <c r="H1613" s="2" t="str">
        <f>"2012"</f>
        <v>2012</v>
      </c>
      <c r="I1613" t="s">
        <v>14</v>
      </c>
      <c r="J1613" t="s">
        <v>15</v>
      </c>
    </row>
    <row r="1614" spans="1:10">
      <c r="A1614" s="2" t="str">
        <f>"1611"</f>
        <v>1611</v>
      </c>
      <c r="B1614" s="2" t="s">
        <v>9</v>
      </c>
      <c r="C1614" s="2" t="str">
        <f>"1 (1)"</f>
        <v>1 (1)</v>
      </c>
      <c r="D1614" s="2" t="s">
        <v>5370</v>
      </c>
      <c r="E1614" s="5" t="s">
        <v>5371</v>
      </c>
      <c r="F1614" s="3" t="s">
        <v>5372</v>
      </c>
      <c r="G1614" s="3" t="s">
        <v>5373</v>
      </c>
      <c r="H1614" s="2" t="str">
        <f>"2012"</f>
        <v>2012</v>
      </c>
      <c r="I1614" t="s">
        <v>14</v>
      </c>
      <c r="J1614" t="s">
        <v>15</v>
      </c>
    </row>
    <row r="1615" spans="1:10">
      <c r="A1615" s="2" t="str">
        <f>"1612"</f>
        <v>1612</v>
      </c>
      <c r="B1615" s="2" t="s">
        <v>9</v>
      </c>
      <c r="C1615" s="2" t="str">
        <f>"1 (1)"</f>
        <v>1 (1)</v>
      </c>
      <c r="D1615" s="2" t="s">
        <v>5374</v>
      </c>
      <c r="E1615" s="5" t="s">
        <v>5375</v>
      </c>
      <c r="F1615" s="3" t="s">
        <v>5376</v>
      </c>
      <c r="G1615" s="3" t="s">
        <v>5377</v>
      </c>
      <c r="H1615" s="2" t="str">
        <f>"2013"</f>
        <v>2013</v>
      </c>
      <c r="I1615" t="s">
        <v>14</v>
      </c>
      <c r="J1615" t="s">
        <v>15</v>
      </c>
    </row>
    <row r="1616" spans="1:10">
      <c r="A1616" s="2" t="str">
        <f>"1613"</f>
        <v>1613</v>
      </c>
      <c r="B1616" s="2" t="s">
        <v>9</v>
      </c>
      <c r="C1616" s="2" t="str">
        <f>"1 (1)"</f>
        <v>1 (1)</v>
      </c>
      <c r="D1616" s="2" t="s">
        <v>5378</v>
      </c>
      <c r="E1616" s="5" t="s">
        <v>5379</v>
      </c>
      <c r="F1616" s="3" t="s">
        <v>5380</v>
      </c>
      <c r="G1616" s="3" t="s">
        <v>5381</v>
      </c>
      <c r="H1616" s="2" t="str">
        <f>"2013"</f>
        <v>2013</v>
      </c>
      <c r="I1616" t="s">
        <v>14</v>
      </c>
      <c r="J1616" t="s">
        <v>15</v>
      </c>
    </row>
    <row r="1617" spans="1:10">
      <c r="A1617" s="2" t="str">
        <f>"1614"</f>
        <v>1614</v>
      </c>
      <c r="B1617" s="2" t="s">
        <v>9</v>
      </c>
      <c r="C1617" s="2" t="str">
        <f>"1 (1)"</f>
        <v>1 (1)</v>
      </c>
      <c r="D1617" s="2" t="s">
        <v>5382</v>
      </c>
      <c r="E1617" s="5" t="s">
        <v>5383</v>
      </c>
      <c r="F1617" s="3" t="s">
        <v>5384</v>
      </c>
      <c r="G1617" s="3" t="s">
        <v>5385</v>
      </c>
      <c r="H1617" s="2" t="str">
        <f>"2013"</f>
        <v>2013</v>
      </c>
      <c r="I1617" t="s">
        <v>14</v>
      </c>
      <c r="J1617" t="s">
        <v>15</v>
      </c>
    </row>
    <row r="1618" spans="1:10">
      <c r="A1618" s="2" t="str">
        <f>"1615"</f>
        <v>1615</v>
      </c>
      <c r="B1618" s="2" t="s">
        <v>9</v>
      </c>
      <c r="C1618" s="2" t="str">
        <f>"1 (1)"</f>
        <v>1 (1)</v>
      </c>
      <c r="D1618" s="2" t="s">
        <v>5386</v>
      </c>
      <c r="E1618" s="5" t="s">
        <v>5296</v>
      </c>
      <c r="F1618" s="3" t="s">
        <v>2704</v>
      </c>
      <c r="G1618" s="3" t="s">
        <v>5297</v>
      </c>
      <c r="H1618" s="2" t="str">
        <f>"2013"</f>
        <v>2013</v>
      </c>
      <c r="I1618" t="s">
        <v>14</v>
      </c>
      <c r="J1618" t="s">
        <v>15</v>
      </c>
    </row>
    <row r="1619" spans="1:10">
      <c r="A1619" s="2" t="str">
        <f>"1616"</f>
        <v>1616</v>
      </c>
      <c r="B1619" s="2" t="s">
        <v>9</v>
      </c>
      <c r="C1619" s="2" t="str">
        <f>"1 (1)"</f>
        <v>1 (1)</v>
      </c>
      <c r="D1619" s="2" t="s">
        <v>5387</v>
      </c>
      <c r="E1619" s="5" t="s">
        <v>5388</v>
      </c>
      <c r="F1619" s="3" t="s">
        <v>5389</v>
      </c>
      <c r="G1619" s="3" t="s">
        <v>4848</v>
      </c>
      <c r="H1619" s="2" t="str">
        <f>"2013"</f>
        <v>2013</v>
      </c>
      <c r="I1619" t="s">
        <v>14</v>
      </c>
      <c r="J1619" t="s">
        <v>15</v>
      </c>
    </row>
    <row r="1620" spans="1:10">
      <c r="A1620" s="2" t="str">
        <f>"1617"</f>
        <v>1617</v>
      </c>
      <c r="B1620" s="2" t="s">
        <v>9</v>
      </c>
      <c r="C1620" s="2" t="str">
        <f>"1 (1)"</f>
        <v>1 (1)</v>
      </c>
      <c r="D1620" s="2" t="s">
        <v>5390</v>
      </c>
      <c r="E1620" s="5" t="s">
        <v>5388</v>
      </c>
      <c r="F1620" s="3" t="s">
        <v>5389</v>
      </c>
      <c r="G1620" s="3" t="s">
        <v>4848</v>
      </c>
      <c r="H1620" s="2" t="str">
        <f>"2013"</f>
        <v>2013</v>
      </c>
      <c r="I1620" t="s">
        <v>14</v>
      </c>
      <c r="J1620" t="s">
        <v>15</v>
      </c>
    </row>
    <row r="1621" spans="1:10">
      <c r="A1621" s="2" t="str">
        <f>"1618"</f>
        <v>1618</v>
      </c>
      <c r="B1621" s="2" t="s">
        <v>9</v>
      </c>
      <c r="C1621" s="2" t="str">
        <f>"1 (1)"</f>
        <v>1 (1)</v>
      </c>
      <c r="D1621" s="2" t="s">
        <v>5391</v>
      </c>
      <c r="E1621" s="5" t="s">
        <v>5392</v>
      </c>
      <c r="F1621" s="3" t="s">
        <v>5393</v>
      </c>
      <c r="G1621" s="3" t="s">
        <v>5394</v>
      </c>
      <c r="H1621" s="2" t="str">
        <f>"2012"</f>
        <v>2012</v>
      </c>
      <c r="I1621" t="s">
        <v>14</v>
      </c>
      <c r="J1621" t="s">
        <v>15</v>
      </c>
    </row>
    <row r="1622" spans="1:10">
      <c r="A1622" s="2" t="str">
        <f>"1619"</f>
        <v>1619</v>
      </c>
      <c r="B1622" s="2" t="s">
        <v>9</v>
      </c>
      <c r="C1622" s="2" t="str">
        <f>"1 (1)"</f>
        <v>1 (1)</v>
      </c>
      <c r="D1622" s="2" t="s">
        <v>5395</v>
      </c>
      <c r="E1622" s="5" t="s">
        <v>5396</v>
      </c>
      <c r="F1622" s="3" t="s">
        <v>5397</v>
      </c>
      <c r="G1622" s="3" t="s">
        <v>5398</v>
      </c>
      <c r="H1622" s="2" t="str">
        <f>"2013"</f>
        <v>2013</v>
      </c>
      <c r="I1622" t="s">
        <v>14</v>
      </c>
      <c r="J1622" t="s">
        <v>15</v>
      </c>
    </row>
    <row r="1623" spans="1:10">
      <c r="A1623" s="2" t="str">
        <f>"1620"</f>
        <v>1620</v>
      </c>
      <c r="B1623" s="2" t="s">
        <v>9</v>
      </c>
      <c r="C1623" s="2" t="str">
        <f>"1 (1)"</f>
        <v>1 (1)</v>
      </c>
      <c r="D1623" s="2" t="s">
        <v>5399</v>
      </c>
      <c r="E1623" s="5" t="s">
        <v>5400</v>
      </c>
      <c r="F1623" s="3" t="s">
        <v>5401</v>
      </c>
      <c r="G1623" s="3" t="s">
        <v>5402</v>
      </c>
      <c r="H1623" s="2" t="str">
        <f>"2013"</f>
        <v>2013</v>
      </c>
      <c r="I1623" t="s">
        <v>14</v>
      </c>
      <c r="J1623" t="s">
        <v>15</v>
      </c>
    </row>
    <row r="1624" spans="1:10">
      <c r="A1624" s="2" t="str">
        <f>"1621"</f>
        <v>1621</v>
      </c>
      <c r="B1624" s="2" t="s">
        <v>9</v>
      </c>
      <c r="C1624" s="2" t="str">
        <f>"1 (1)"</f>
        <v>1 (1)</v>
      </c>
      <c r="D1624" s="2" t="s">
        <v>5403</v>
      </c>
      <c r="E1624" s="5" t="s">
        <v>5404</v>
      </c>
      <c r="F1624" s="3" t="s">
        <v>5405</v>
      </c>
      <c r="G1624" s="3" t="s">
        <v>4866</v>
      </c>
      <c r="H1624" s="2" t="str">
        <f>"2013"</f>
        <v>2013</v>
      </c>
      <c r="I1624" t="s">
        <v>14</v>
      </c>
      <c r="J1624" t="s">
        <v>15</v>
      </c>
    </row>
    <row r="1625" spans="1:10">
      <c r="A1625" s="2" t="str">
        <f>"1622"</f>
        <v>1622</v>
      </c>
      <c r="B1625" s="2" t="s">
        <v>9</v>
      </c>
      <c r="C1625" s="2" t="str">
        <f>"1 (1)"</f>
        <v>1 (1)</v>
      </c>
      <c r="D1625" s="2" t="s">
        <v>5406</v>
      </c>
      <c r="E1625" s="5" t="s">
        <v>5407</v>
      </c>
      <c r="F1625" s="3" t="s">
        <v>5408</v>
      </c>
      <c r="G1625" s="3" t="s">
        <v>5409</v>
      </c>
      <c r="H1625" s="2" t="str">
        <f>"2013"</f>
        <v>2013</v>
      </c>
      <c r="I1625" t="s">
        <v>14</v>
      </c>
      <c r="J1625" t="s">
        <v>15</v>
      </c>
    </row>
    <row r="1626" spans="1:10">
      <c r="A1626" s="2" t="str">
        <f>"1623"</f>
        <v>1623</v>
      </c>
      <c r="B1626" s="2" t="s">
        <v>9</v>
      </c>
      <c r="C1626" s="2" t="str">
        <f>"1 (1)"</f>
        <v>1 (1)</v>
      </c>
      <c r="D1626" s="2" t="s">
        <v>5410</v>
      </c>
      <c r="E1626" s="5" t="s">
        <v>5411</v>
      </c>
      <c r="F1626" s="3" t="s">
        <v>5412</v>
      </c>
      <c r="G1626" s="3" t="s">
        <v>5413</v>
      </c>
      <c r="H1626" s="2" t="str">
        <f>"2012"</f>
        <v>2012</v>
      </c>
      <c r="I1626" t="s">
        <v>14</v>
      </c>
      <c r="J1626" t="s">
        <v>15</v>
      </c>
    </row>
    <row r="1627" spans="1:10">
      <c r="A1627" s="2" t="str">
        <f>"1624"</f>
        <v>1624</v>
      </c>
      <c r="B1627" s="2" t="s">
        <v>9</v>
      </c>
      <c r="C1627" s="2" t="str">
        <f>"1 (1)"</f>
        <v>1 (1)</v>
      </c>
      <c r="D1627" s="2" t="s">
        <v>5414</v>
      </c>
      <c r="E1627" s="5" t="s">
        <v>5415</v>
      </c>
      <c r="F1627" s="3" t="s">
        <v>5416</v>
      </c>
      <c r="G1627" s="3" t="s">
        <v>5417</v>
      </c>
      <c r="H1627" s="2" t="str">
        <f>"2013"</f>
        <v>2013</v>
      </c>
      <c r="I1627" t="s">
        <v>14</v>
      </c>
      <c r="J1627" t="s">
        <v>15</v>
      </c>
    </row>
    <row r="1628" spans="1:10">
      <c r="A1628" s="2" t="str">
        <f>"1625"</f>
        <v>1625</v>
      </c>
      <c r="B1628" s="2" t="s">
        <v>9</v>
      </c>
      <c r="C1628" s="2" t="str">
        <f>"1 (1)"</f>
        <v>1 (1)</v>
      </c>
      <c r="D1628" s="2" t="s">
        <v>5418</v>
      </c>
      <c r="E1628" s="5" t="s">
        <v>5419</v>
      </c>
      <c r="F1628" s="3" t="s">
        <v>5420</v>
      </c>
      <c r="G1628" s="3" t="s">
        <v>2148</v>
      </c>
      <c r="H1628" s="2" t="str">
        <f>"2013"</f>
        <v>2013</v>
      </c>
      <c r="I1628" t="s">
        <v>14</v>
      </c>
      <c r="J1628" t="s">
        <v>15</v>
      </c>
    </row>
    <row r="1629" spans="1:10">
      <c r="A1629" s="2" t="str">
        <f>"1626"</f>
        <v>1626</v>
      </c>
      <c r="B1629" s="2" t="s">
        <v>9</v>
      </c>
      <c r="C1629" s="2" t="str">
        <f>"1 (1)"</f>
        <v>1 (1)</v>
      </c>
      <c r="D1629" s="2" t="s">
        <v>5421</v>
      </c>
      <c r="E1629" s="5" t="s">
        <v>5422</v>
      </c>
      <c r="F1629" s="3" t="s">
        <v>5423</v>
      </c>
      <c r="G1629" s="3" t="s">
        <v>5424</v>
      </c>
      <c r="H1629" s="2" t="str">
        <f>"2013"</f>
        <v>2013</v>
      </c>
      <c r="I1629" t="s">
        <v>14</v>
      </c>
      <c r="J1629" t="s">
        <v>15</v>
      </c>
    </row>
    <row r="1630" spans="1:10">
      <c r="A1630" s="2" t="str">
        <f>"1627"</f>
        <v>1627</v>
      </c>
      <c r="B1630" s="2" t="s">
        <v>9</v>
      </c>
      <c r="C1630" s="2" t="str">
        <f>"1 (1)"</f>
        <v>1 (1)</v>
      </c>
      <c r="D1630" s="2" t="s">
        <v>5425</v>
      </c>
      <c r="E1630" s="5" t="s">
        <v>5426</v>
      </c>
      <c r="F1630" s="3" t="s">
        <v>5427</v>
      </c>
      <c r="G1630" s="3" t="s">
        <v>4492</v>
      </c>
      <c r="H1630" s="2" t="str">
        <f>"2013"</f>
        <v>2013</v>
      </c>
      <c r="I1630" t="s">
        <v>14</v>
      </c>
      <c r="J1630" t="s">
        <v>15</v>
      </c>
    </row>
    <row r="1631" spans="1:10">
      <c r="A1631" s="2" t="str">
        <f>"1628"</f>
        <v>1628</v>
      </c>
      <c r="B1631" s="2" t="s">
        <v>9</v>
      </c>
      <c r="C1631" s="2" t="str">
        <f>"1 (1)"</f>
        <v>1 (1)</v>
      </c>
      <c r="D1631" s="2" t="s">
        <v>5428</v>
      </c>
      <c r="E1631" s="5" t="s">
        <v>5429</v>
      </c>
      <c r="F1631" s="3" t="s">
        <v>5430</v>
      </c>
      <c r="G1631" s="3" t="s">
        <v>5431</v>
      </c>
      <c r="H1631" s="2" t="str">
        <f>"2013"</f>
        <v>2013</v>
      </c>
      <c r="I1631" t="s">
        <v>14</v>
      </c>
      <c r="J1631" t="s">
        <v>15</v>
      </c>
    </row>
    <row r="1632" spans="1:10">
      <c r="A1632" s="2" t="str">
        <f>"1629"</f>
        <v>1629</v>
      </c>
      <c r="B1632" s="2" t="s">
        <v>9</v>
      </c>
      <c r="C1632" s="2" t="str">
        <f>"1 (1)"</f>
        <v>1 (1)</v>
      </c>
      <c r="D1632" s="2" t="s">
        <v>5432</v>
      </c>
      <c r="E1632" s="5" t="s">
        <v>5433</v>
      </c>
      <c r="F1632" s="3" t="s">
        <v>5434</v>
      </c>
      <c r="G1632" s="3" t="s">
        <v>443</v>
      </c>
      <c r="H1632" s="2" t="str">
        <f>"2013"</f>
        <v>2013</v>
      </c>
      <c r="I1632" t="s">
        <v>14</v>
      </c>
      <c r="J1632" t="s">
        <v>15</v>
      </c>
    </row>
    <row r="1633" spans="1:10">
      <c r="A1633" s="2" t="str">
        <f>"1630"</f>
        <v>1630</v>
      </c>
      <c r="B1633" s="2" t="s">
        <v>9</v>
      </c>
      <c r="C1633" s="2" t="str">
        <f>"1 (1)"</f>
        <v>1 (1)</v>
      </c>
      <c r="D1633" s="2" t="s">
        <v>5435</v>
      </c>
      <c r="E1633" s="5" t="s">
        <v>5436</v>
      </c>
      <c r="F1633" s="3" t="s">
        <v>5437</v>
      </c>
      <c r="G1633" s="3" t="s">
        <v>5438</v>
      </c>
      <c r="H1633" s="2" t="str">
        <f>"2013"</f>
        <v>2013</v>
      </c>
      <c r="I1633" t="s">
        <v>14</v>
      </c>
      <c r="J1633" t="s">
        <v>15</v>
      </c>
    </row>
    <row r="1634" spans="1:10">
      <c r="A1634" s="2" t="str">
        <f>"1631"</f>
        <v>1631</v>
      </c>
      <c r="B1634" s="2" t="s">
        <v>9</v>
      </c>
      <c r="C1634" s="2" t="str">
        <f>"1 (1)"</f>
        <v>1 (1)</v>
      </c>
      <c r="D1634" s="2" t="s">
        <v>5439</v>
      </c>
      <c r="E1634" s="5" t="s">
        <v>5440</v>
      </c>
      <c r="F1634" s="3" t="s">
        <v>5441</v>
      </c>
      <c r="G1634" s="3" t="s">
        <v>5442</v>
      </c>
      <c r="H1634" s="2" t="str">
        <f>"2013"</f>
        <v>2013</v>
      </c>
      <c r="I1634" t="s">
        <v>14</v>
      </c>
      <c r="J1634" t="s">
        <v>15</v>
      </c>
    </row>
    <row r="1635" spans="1:10">
      <c r="A1635" s="2" t="str">
        <f>"1632"</f>
        <v>1632</v>
      </c>
      <c r="B1635" s="2" t="s">
        <v>9</v>
      </c>
      <c r="C1635" s="2" t="str">
        <f>"1 (1)"</f>
        <v>1 (1)</v>
      </c>
      <c r="D1635" s="2" t="s">
        <v>5443</v>
      </c>
      <c r="E1635" s="5" t="s">
        <v>5444</v>
      </c>
      <c r="F1635" s="3" t="s">
        <v>5445</v>
      </c>
      <c r="G1635" s="3" t="s">
        <v>5214</v>
      </c>
      <c r="H1635" s="2" t="str">
        <f>"2012"</f>
        <v>2012</v>
      </c>
      <c r="I1635" t="s">
        <v>14</v>
      </c>
      <c r="J1635" t="s">
        <v>15</v>
      </c>
    </row>
    <row r="1636" spans="1:10">
      <c r="A1636" s="2" t="str">
        <f>"1633"</f>
        <v>1633</v>
      </c>
      <c r="B1636" s="2" t="s">
        <v>9</v>
      </c>
      <c r="C1636" s="2" t="str">
        <f>"1 (1)"</f>
        <v>1 (1)</v>
      </c>
      <c r="D1636" s="2" t="s">
        <v>5446</v>
      </c>
      <c r="E1636" s="5" t="s">
        <v>5447</v>
      </c>
      <c r="F1636" s="3" t="s">
        <v>5448</v>
      </c>
      <c r="G1636" s="3" t="s">
        <v>5312</v>
      </c>
      <c r="H1636" s="2" t="str">
        <f>"2013"</f>
        <v>2013</v>
      </c>
      <c r="I1636" t="s">
        <v>14</v>
      </c>
      <c r="J1636" t="s">
        <v>15</v>
      </c>
    </row>
    <row r="1637" spans="1:10">
      <c r="A1637" s="2" t="str">
        <f>"1634"</f>
        <v>1634</v>
      </c>
      <c r="B1637" s="2" t="s">
        <v>9</v>
      </c>
      <c r="C1637" s="2" t="str">
        <f>"1 (1)"</f>
        <v>1 (1)</v>
      </c>
      <c r="D1637" s="2" t="s">
        <v>5449</v>
      </c>
      <c r="E1637" s="5" t="s">
        <v>5450</v>
      </c>
      <c r="F1637" s="3" t="s">
        <v>4491</v>
      </c>
      <c r="G1637" s="3" t="s">
        <v>4208</v>
      </c>
      <c r="H1637" s="2" t="str">
        <f>"2012"</f>
        <v>2012</v>
      </c>
      <c r="I1637" t="s">
        <v>14</v>
      </c>
      <c r="J1637" t="s">
        <v>15</v>
      </c>
    </row>
    <row r="1638" spans="1:10">
      <c r="A1638" s="2" t="str">
        <f>"1635"</f>
        <v>1635</v>
      </c>
      <c r="B1638" s="2" t="s">
        <v>9</v>
      </c>
      <c r="C1638" s="2" t="str">
        <f>"1 (1)"</f>
        <v>1 (1)</v>
      </c>
      <c r="D1638" s="2" t="s">
        <v>5451</v>
      </c>
      <c r="E1638" s="5" t="s">
        <v>5452</v>
      </c>
      <c r="F1638" s="3" t="s">
        <v>5453</v>
      </c>
      <c r="G1638" s="3" t="s">
        <v>5454</v>
      </c>
      <c r="H1638" s="2" t="str">
        <f>"2012"</f>
        <v>2012</v>
      </c>
      <c r="I1638" t="s">
        <v>14</v>
      </c>
      <c r="J1638" t="s">
        <v>15</v>
      </c>
    </row>
    <row r="1639" spans="1:10">
      <c r="A1639" s="2" t="str">
        <f>"1636"</f>
        <v>1636</v>
      </c>
      <c r="B1639" s="2" t="s">
        <v>9</v>
      </c>
      <c r="C1639" s="2" t="str">
        <f>"1 (1)"</f>
        <v>1 (1)</v>
      </c>
      <c r="D1639" s="2" t="s">
        <v>5455</v>
      </c>
      <c r="E1639" s="5" t="s">
        <v>5456</v>
      </c>
      <c r="F1639" s="3" t="s">
        <v>5457</v>
      </c>
      <c r="G1639" s="3" t="s">
        <v>5458</v>
      </c>
      <c r="H1639" s="2" t="str">
        <f>"2012"</f>
        <v>2012</v>
      </c>
      <c r="I1639" t="s">
        <v>14</v>
      </c>
      <c r="J1639" t="s">
        <v>15</v>
      </c>
    </row>
    <row r="1640" spans="1:10">
      <c r="A1640" s="2" t="str">
        <f>"1637"</f>
        <v>1637</v>
      </c>
      <c r="B1640" s="2" t="s">
        <v>9</v>
      </c>
      <c r="C1640" s="2" t="str">
        <f>"1 (1)"</f>
        <v>1 (1)</v>
      </c>
      <c r="D1640" s="2" t="s">
        <v>5459</v>
      </c>
      <c r="E1640" s="5" t="s">
        <v>5460</v>
      </c>
      <c r="F1640" s="3" t="s">
        <v>5461</v>
      </c>
      <c r="G1640" s="3" t="s">
        <v>3054</v>
      </c>
      <c r="H1640" s="2" t="str">
        <f>"2012"</f>
        <v>2012</v>
      </c>
      <c r="I1640" t="s">
        <v>14</v>
      </c>
      <c r="J1640" t="s">
        <v>15</v>
      </c>
    </row>
    <row r="1641" spans="1:10">
      <c r="A1641" s="2" t="str">
        <f>"1638"</f>
        <v>1638</v>
      </c>
      <c r="B1641" s="2" t="s">
        <v>9</v>
      </c>
      <c r="C1641" s="2" t="str">
        <f>"1 (1)"</f>
        <v>1 (1)</v>
      </c>
      <c r="D1641" s="2" t="s">
        <v>5462</v>
      </c>
      <c r="E1641" s="5" t="s">
        <v>5463</v>
      </c>
      <c r="F1641" s="3" t="s">
        <v>5464</v>
      </c>
      <c r="G1641" s="3" t="s">
        <v>5103</v>
      </c>
      <c r="H1641" s="2" t="str">
        <f>"2013"</f>
        <v>2013</v>
      </c>
      <c r="I1641" t="s">
        <v>14</v>
      </c>
      <c r="J1641" t="s">
        <v>15</v>
      </c>
    </row>
    <row r="1642" spans="1:10">
      <c r="A1642" s="2" t="str">
        <f>"1639"</f>
        <v>1639</v>
      </c>
      <c r="B1642" s="2" t="s">
        <v>9</v>
      </c>
      <c r="C1642" s="2" t="str">
        <f>"1 (1)"</f>
        <v>1 (1)</v>
      </c>
      <c r="D1642" s="2" t="s">
        <v>5465</v>
      </c>
      <c r="E1642" s="5" t="s">
        <v>5466</v>
      </c>
      <c r="F1642" s="3" t="s">
        <v>5467</v>
      </c>
      <c r="G1642" s="3" t="s">
        <v>5468</v>
      </c>
      <c r="H1642" s="2" t="str">
        <f>"2013"</f>
        <v>2013</v>
      </c>
      <c r="I1642" t="s">
        <v>14</v>
      </c>
      <c r="J1642" t="s">
        <v>15</v>
      </c>
    </row>
    <row r="1643" spans="1:10">
      <c r="A1643" s="2" t="str">
        <f>"1640"</f>
        <v>1640</v>
      </c>
      <c r="B1643" s="2" t="s">
        <v>9</v>
      </c>
      <c r="C1643" s="2" t="str">
        <f>"1 (1)"</f>
        <v>1 (1)</v>
      </c>
      <c r="D1643" s="2" t="s">
        <v>5469</v>
      </c>
      <c r="E1643" s="5" t="s">
        <v>5470</v>
      </c>
      <c r="F1643" s="3" t="s">
        <v>5471</v>
      </c>
      <c r="G1643" s="3" t="s">
        <v>3469</v>
      </c>
      <c r="H1643" s="2" t="str">
        <f>"2013"</f>
        <v>2013</v>
      </c>
      <c r="I1643" t="s">
        <v>14</v>
      </c>
      <c r="J1643" t="s">
        <v>15</v>
      </c>
    </row>
    <row r="1644" spans="1:10">
      <c r="A1644" s="2" t="str">
        <f>"1641"</f>
        <v>1641</v>
      </c>
      <c r="B1644" s="2" t="s">
        <v>9</v>
      </c>
      <c r="C1644" s="2" t="str">
        <f>"1 (1)"</f>
        <v>1 (1)</v>
      </c>
      <c r="D1644" s="2" t="s">
        <v>5472</v>
      </c>
      <c r="E1644" s="5" t="s">
        <v>5473</v>
      </c>
      <c r="F1644" s="3" t="s">
        <v>5474</v>
      </c>
      <c r="G1644" s="3" t="s">
        <v>3012</v>
      </c>
      <c r="H1644" s="2" t="str">
        <f>"2012"</f>
        <v>2012</v>
      </c>
      <c r="I1644" t="s">
        <v>14</v>
      </c>
      <c r="J1644" t="s">
        <v>15</v>
      </c>
    </row>
    <row r="1645" spans="1:10">
      <c r="A1645" s="2" t="str">
        <f>"1642"</f>
        <v>1642</v>
      </c>
      <c r="B1645" s="2" t="s">
        <v>9</v>
      </c>
      <c r="C1645" s="2" t="str">
        <f>"1 (1)"</f>
        <v>1 (1)</v>
      </c>
      <c r="D1645" s="2" t="s">
        <v>5475</v>
      </c>
      <c r="E1645" s="5" t="s">
        <v>5476</v>
      </c>
      <c r="F1645" s="3" t="s">
        <v>5477</v>
      </c>
      <c r="G1645" s="3" t="s">
        <v>4369</v>
      </c>
      <c r="H1645" s="2" t="str">
        <f>"2011"</f>
        <v>2011</v>
      </c>
      <c r="I1645" t="s">
        <v>14</v>
      </c>
      <c r="J1645" t="s">
        <v>15</v>
      </c>
    </row>
    <row r="1646" spans="1:10">
      <c r="A1646" s="2" t="str">
        <f>"1643"</f>
        <v>1643</v>
      </c>
      <c r="B1646" s="2" t="s">
        <v>9</v>
      </c>
      <c r="C1646" s="2" t="str">
        <f>"1 (1)"</f>
        <v>1 (1)</v>
      </c>
      <c r="D1646" s="2" t="s">
        <v>5478</v>
      </c>
      <c r="E1646" s="5" t="s">
        <v>5479</v>
      </c>
      <c r="F1646" s="3" t="s">
        <v>5480</v>
      </c>
      <c r="G1646" s="3" t="s">
        <v>5481</v>
      </c>
      <c r="H1646" s="2" t="str">
        <f>"2013"</f>
        <v>2013</v>
      </c>
      <c r="I1646" t="s">
        <v>14</v>
      </c>
      <c r="J1646" t="s">
        <v>15</v>
      </c>
    </row>
    <row r="1647" spans="1:10">
      <c r="A1647" s="2" t="str">
        <f>"1644"</f>
        <v>1644</v>
      </c>
      <c r="B1647" s="2" t="s">
        <v>9</v>
      </c>
      <c r="C1647" s="2" t="str">
        <f>"1 (1)"</f>
        <v>1 (1)</v>
      </c>
      <c r="D1647" s="2" t="s">
        <v>5482</v>
      </c>
      <c r="E1647" s="5" t="s">
        <v>5483</v>
      </c>
      <c r="F1647" s="3" t="s">
        <v>5484</v>
      </c>
      <c r="G1647" s="3" t="s">
        <v>5485</v>
      </c>
      <c r="H1647" s="2" t="str">
        <f>"2013"</f>
        <v>2013</v>
      </c>
      <c r="I1647" t="s">
        <v>14</v>
      </c>
      <c r="J1647" t="s">
        <v>15</v>
      </c>
    </row>
    <row r="1648" spans="1:10">
      <c r="A1648" s="2" t="str">
        <f>"1645"</f>
        <v>1645</v>
      </c>
      <c r="B1648" s="2" t="s">
        <v>9</v>
      </c>
      <c r="C1648" s="2" t="str">
        <f>"1 (1)"</f>
        <v>1 (1)</v>
      </c>
      <c r="D1648" s="2" t="s">
        <v>5486</v>
      </c>
      <c r="E1648" s="5" t="s">
        <v>5487</v>
      </c>
      <c r="F1648" s="3" t="s">
        <v>5488</v>
      </c>
      <c r="G1648" s="3" t="s">
        <v>5489</v>
      </c>
      <c r="H1648" s="2" t="str">
        <f>"2013"</f>
        <v>2013</v>
      </c>
      <c r="I1648" t="s">
        <v>14</v>
      </c>
      <c r="J1648" t="s">
        <v>15</v>
      </c>
    </row>
    <row r="1649" spans="1:10">
      <c r="A1649" s="2" t="str">
        <f>"1646"</f>
        <v>1646</v>
      </c>
      <c r="B1649" s="2" t="s">
        <v>9</v>
      </c>
      <c r="C1649" s="2" t="str">
        <f>"1 (1)"</f>
        <v>1 (1)</v>
      </c>
      <c r="D1649" s="2" t="s">
        <v>5490</v>
      </c>
      <c r="E1649" s="5" t="s">
        <v>5491</v>
      </c>
      <c r="F1649" s="3" t="s">
        <v>5492</v>
      </c>
      <c r="G1649" s="3" t="s">
        <v>5493</v>
      </c>
      <c r="H1649" s="2" t="str">
        <f>"2013"</f>
        <v>2013</v>
      </c>
      <c r="I1649" t="s">
        <v>14</v>
      </c>
      <c r="J1649" t="s">
        <v>15</v>
      </c>
    </row>
    <row r="1650" spans="1:10">
      <c r="A1650" s="2" t="str">
        <f>"1647"</f>
        <v>1647</v>
      </c>
      <c r="B1650" s="2" t="s">
        <v>9</v>
      </c>
      <c r="C1650" s="2" t="str">
        <f>"1 (1)"</f>
        <v>1 (1)</v>
      </c>
      <c r="D1650" s="2" t="s">
        <v>5494</v>
      </c>
      <c r="E1650" s="5" t="s">
        <v>5495</v>
      </c>
      <c r="F1650" s="3" t="s">
        <v>5496</v>
      </c>
      <c r="G1650" s="3" t="s">
        <v>5497</v>
      </c>
      <c r="H1650" s="2" t="str">
        <f>"2012"</f>
        <v>2012</v>
      </c>
      <c r="I1650" t="s">
        <v>14</v>
      </c>
      <c r="J1650" t="s">
        <v>15</v>
      </c>
    </row>
    <row r="1651" spans="1:10">
      <c r="A1651" s="2" t="str">
        <f>"1648"</f>
        <v>1648</v>
      </c>
      <c r="B1651" s="2" t="s">
        <v>9</v>
      </c>
      <c r="C1651" s="2" t="str">
        <f>"1 (1)"</f>
        <v>1 (1)</v>
      </c>
      <c r="D1651" s="2" t="s">
        <v>5498</v>
      </c>
      <c r="E1651" s="5" t="s">
        <v>5495</v>
      </c>
      <c r="F1651" s="3" t="s">
        <v>5496</v>
      </c>
      <c r="G1651" s="3" t="s">
        <v>5497</v>
      </c>
      <c r="H1651" s="2" t="str">
        <f>"2012"</f>
        <v>2012</v>
      </c>
      <c r="I1651" t="s">
        <v>14</v>
      </c>
      <c r="J1651" t="s">
        <v>15</v>
      </c>
    </row>
    <row r="1652" spans="1:10">
      <c r="A1652" s="2" t="str">
        <f>"1649"</f>
        <v>1649</v>
      </c>
      <c r="B1652" s="2" t="s">
        <v>9</v>
      </c>
      <c r="C1652" s="2" t="str">
        <f>"1 (1)"</f>
        <v>1 (1)</v>
      </c>
      <c r="D1652" s="2" t="s">
        <v>5499</v>
      </c>
      <c r="E1652" s="5" t="s">
        <v>5500</v>
      </c>
      <c r="F1652" s="3" t="s">
        <v>5501</v>
      </c>
      <c r="G1652" s="3" t="s">
        <v>5502</v>
      </c>
      <c r="H1652" s="2" t="str">
        <f>"2012"</f>
        <v>2012</v>
      </c>
      <c r="I1652" t="s">
        <v>14</v>
      </c>
      <c r="J1652" t="s">
        <v>15</v>
      </c>
    </row>
    <row r="1653" spans="1:10">
      <c r="A1653" s="2" t="str">
        <f>"1650"</f>
        <v>1650</v>
      </c>
      <c r="B1653" s="2" t="s">
        <v>9</v>
      </c>
      <c r="C1653" s="2" t="str">
        <f>"1 (1)"</f>
        <v>1 (1)</v>
      </c>
      <c r="D1653" s="2" t="s">
        <v>5503</v>
      </c>
      <c r="E1653" s="5" t="s">
        <v>5504</v>
      </c>
      <c r="F1653" s="3" t="s">
        <v>5505</v>
      </c>
      <c r="G1653" s="3" t="s">
        <v>5506</v>
      </c>
      <c r="H1653" s="2" t="str">
        <f>"2012"</f>
        <v>2012</v>
      </c>
      <c r="I1653" t="s">
        <v>14</v>
      </c>
      <c r="J1653" t="s">
        <v>15</v>
      </c>
    </row>
    <row r="1654" spans="1:10">
      <c r="A1654" s="2" t="str">
        <f>"1651"</f>
        <v>1651</v>
      </c>
      <c r="B1654" s="2" t="s">
        <v>9</v>
      </c>
      <c r="C1654" s="2" t="str">
        <f>"1 (1)"</f>
        <v>1 (1)</v>
      </c>
      <c r="D1654" s="2" t="s">
        <v>5507</v>
      </c>
      <c r="E1654" s="5" t="s">
        <v>5508</v>
      </c>
      <c r="F1654" s="3" t="s">
        <v>5509</v>
      </c>
      <c r="G1654" s="3" t="s">
        <v>5510</v>
      </c>
      <c r="H1654" s="2" t="str">
        <f>"2013"</f>
        <v>2013</v>
      </c>
      <c r="I1654" t="s">
        <v>14</v>
      </c>
      <c r="J1654" t="s">
        <v>15</v>
      </c>
    </row>
    <row r="1655" spans="1:10">
      <c r="A1655" s="2" t="str">
        <f>"1652"</f>
        <v>1652</v>
      </c>
      <c r="B1655" s="2" t="s">
        <v>9</v>
      </c>
      <c r="C1655" s="2" t="str">
        <f>"1 (1)"</f>
        <v>1 (1)</v>
      </c>
      <c r="D1655" s="2" t="s">
        <v>5511</v>
      </c>
      <c r="E1655" s="5" t="s">
        <v>5512</v>
      </c>
      <c r="F1655" s="3" t="s">
        <v>5513</v>
      </c>
      <c r="G1655" s="3" t="s">
        <v>5514</v>
      </c>
      <c r="H1655" s="2" t="str">
        <f>"2012"</f>
        <v>2012</v>
      </c>
      <c r="I1655" t="s">
        <v>14</v>
      </c>
      <c r="J1655" t="s">
        <v>15</v>
      </c>
    </row>
    <row r="1656" spans="1:10">
      <c r="A1656" s="2" t="str">
        <f>"1653"</f>
        <v>1653</v>
      </c>
      <c r="B1656" s="2" t="s">
        <v>9</v>
      </c>
      <c r="C1656" s="2" t="str">
        <f>"1 (1)"</f>
        <v>1 (1)</v>
      </c>
      <c r="D1656" s="2" t="s">
        <v>5515</v>
      </c>
      <c r="E1656" s="5" t="s">
        <v>5516</v>
      </c>
      <c r="F1656" s="3" t="s">
        <v>5517</v>
      </c>
      <c r="G1656" s="3" t="s">
        <v>4686</v>
      </c>
      <c r="H1656" s="2" t="str">
        <f>"2013"</f>
        <v>2013</v>
      </c>
      <c r="I1656" t="s">
        <v>14</v>
      </c>
      <c r="J1656" t="s">
        <v>15</v>
      </c>
    </row>
    <row r="1657" spans="1:10">
      <c r="A1657" s="2" t="str">
        <f>"1654"</f>
        <v>1654</v>
      </c>
      <c r="B1657" s="2" t="s">
        <v>9</v>
      </c>
      <c r="C1657" s="2" t="str">
        <f>"1 (1)"</f>
        <v>1 (1)</v>
      </c>
      <c r="D1657" s="2" t="s">
        <v>5518</v>
      </c>
      <c r="E1657" s="5" t="s">
        <v>5519</v>
      </c>
      <c r="F1657" s="3" t="s">
        <v>5520</v>
      </c>
      <c r="G1657" s="3" t="s">
        <v>5417</v>
      </c>
      <c r="H1657" s="2" t="str">
        <f>"2012"</f>
        <v>2012</v>
      </c>
      <c r="I1657" t="s">
        <v>14</v>
      </c>
      <c r="J1657" t="s">
        <v>15</v>
      </c>
    </row>
    <row r="1658" spans="1:10">
      <c r="A1658" s="2" t="str">
        <f>"1655"</f>
        <v>1655</v>
      </c>
      <c r="B1658" s="2" t="s">
        <v>9</v>
      </c>
      <c r="C1658" s="2" t="str">
        <f>"1 (1)"</f>
        <v>1 (1)</v>
      </c>
      <c r="D1658" s="2" t="s">
        <v>5521</v>
      </c>
      <c r="E1658" s="5" t="s">
        <v>5522</v>
      </c>
      <c r="F1658" s="3" t="s">
        <v>5523</v>
      </c>
      <c r="G1658" s="3" t="s">
        <v>5524</v>
      </c>
      <c r="H1658" s="2" t="str">
        <f>"2012"</f>
        <v>2012</v>
      </c>
      <c r="I1658" t="s">
        <v>14</v>
      </c>
      <c r="J1658" t="s">
        <v>15</v>
      </c>
    </row>
    <row r="1659" spans="1:10">
      <c r="A1659" s="2" t="str">
        <f>"1656"</f>
        <v>1656</v>
      </c>
      <c r="B1659" s="2" t="s">
        <v>9</v>
      </c>
      <c r="C1659" s="2" t="str">
        <f>"1 (1)"</f>
        <v>1 (1)</v>
      </c>
      <c r="D1659" s="2" t="s">
        <v>5525</v>
      </c>
      <c r="E1659" s="5" t="s">
        <v>5526</v>
      </c>
      <c r="F1659" s="3" t="s">
        <v>5527</v>
      </c>
      <c r="G1659" s="3" t="s">
        <v>5528</v>
      </c>
      <c r="H1659" s="2" t="str">
        <f>"2012"</f>
        <v>2012</v>
      </c>
      <c r="I1659" t="s">
        <v>14</v>
      </c>
      <c r="J1659" t="s">
        <v>15</v>
      </c>
    </row>
    <row r="1660" spans="1:10">
      <c r="A1660" s="2" t="str">
        <f>"1657"</f>
        <v>1657</v>
      </c>
      <c r="B1660" s="2" t="s">
        <v>9</v>
      </c>
      <c r="C1660" s="2" t="str">
        <f>"1 (1)"</f>
        <v>1 (1)</v>
      </c>
      <c r="D1660" s="2" t="s">
        <v>5529</v>
      </c>
      <c r="E1660" s="5" t="s">
        <v>5530</v>
      </c>
      <c r="F1660" s="3" t="s">
        <v>5531</v>
      </c>
      <c r="G1660" s="3" t="s">
        <v>1949</v>
      </c>
      <c r="H1660" s="2" t="str">
        <f>"2013"</f>
        <v>2013</v>
      </c>
      <c r="I1660" t="s">
        <v>14</v>
      </c>
      <c r="J1660" t="s">
        <v>15</v>
      </c>
    </row>
    <row r="1661" spans="1:10">
      <c r="A1661" s="2" t="str">
        <f>"1658"</f>
        <v>1658</v>
      </c>
      <c r="B1661" s="2" t="s">
        <v>9</v>
      </c>
      <c r="C1661" s="2" t="str">
        <f>"1 (1)"</f>
        <v>1 (1)</v>
      </c>
      <c r="D1661" s="2" t="s">
        <v>5532</v>
      </c>
      <c r="E1661" s="5" t="s">
        <v>5533</v>
      </c>
      <c r="F1661" s="3" t="s">
        <v>5534</v>
      </c>
      <c r="G1661" s="3" t="s">
        <v>443</v>
      </c>
      <c r="H1661" s="2" t="str">
        <f>"2013"</f>
        <v>2013</v>
      </c>
      <c r="I1661" t="s">
        <v>14</v>
      </c>
      <c r="J1661" t="s">
        <v>15</v>
      </c>
    </row>
    <row r="1662" spans="1:10">
      <c r="A1662" s="2" t="str">
        <f>"1659"</f>
        <v>1659</v>
      </c>
      <c r="B1662" s="2" t="s">
        <v>9</v>
      </c>
      <c r="C1662" s="2" t="str">
        <f>"1 (1)"</f>
        <v>1 (1)</v>
      </c>
      <c r="D1662" s="2" t="s">
        <v>5535</v>
      </c>
      <c r="E1662" s="5" t="s">
        <v>5536</v>
      </c>
      <c r="F1662" s="3" t="s">
        <v>5537</v>
      </c>
      <c r="G1662" s="3" t="s">
        <v>5538</v>
      </c>
      <c r="H1662" s="2" t="str">
        <f>"2013"</f>
        <v>2013</v>
      </c>
      <c r="I1662" t="s">
        <v>14</v>
      </c>
      <c r="J1662" t="s">
        <v>15</v>
      </c>
    </row>
    <row r="1663" spans="1:10">
      <c r="A1663" s="2" t="str">
        <f>"1660"</f>
        <v>1660</v>
      </c>
      <c r="B1663" s="2" t="s">
        <v>9</v>
      </c>
      <c r="C1663" s="2" t="str">
        <f>"1 (1)"</f>
        <v>1 (1)</v>
      </c>
      <c r="D1663" s="2" t="s">
        <v>5539</v>
      </c>
      <c r="E1663" s="5" t="s">
        <v>5540</v>
      </c>
      <c r="F1663" s="3" t="s">
        <v>5541</v>
      </c>
      <c r="G1663" s="3" t="s">
        <v>2689</v>
      </c>
      <c r="H1663" s="2" t="str">
        <f>"2013"</f>
        <v>2013</v>
      </c>
      <c r="I1663" t="s">
        <v>14</v>
      </c>
      <c r="J1663" t="s">
        <v>15</v>
      </c>
    </row>
    <row r="1664" spans="1:10">
      <c r="A1664" s="2" t="str">
        <f>"1661"</f>
        <v>1661</v>
      </c>
      <c r="B1664" s="2" t="s">
        <v>9</v>
      </c>
      <c r="C1664" s="2" t="str">
        <f>"1 (1)"</f>
        <v>1 (1)</v>
      </c>
      <c r="D1664" s="2" t="s">
        <v>5542</v>
      </c>
      <c r="E1664" s="5" t="s">
        <v>5543</v>
      </c>
      <c r="F1664" s="3" t="s">
        <v>5544</v>
      </c>
      <c r="G1664" s="3" t="s">
        <v>5545</v>
      </c>
      <c r="H1664" s="2" t="str">
        <f>"2013"</f>
        <v>2013</v>
      </c>
      <c r="I1664" t="s">
        <v>14</v>
      </c>
      <c r="J1664" t="s">
        <v>15</v>
      </c>
    </row>
    <row r="1665" spans="1:10">
      <c r="A1665" s="2" t="str">
        <f>"1662"</f>
        <v>1662</v>
      </c>
      <c r="B1665" s="2" t="s">
        <v>9</v>
      </c>
      <c r="C1665" s="2" t="str">
        <f>"1 (1)"</f>
        <v>1 (1)</v>
      </c>
      <c r="D1665" s="2" t="s">
        <v>5546</v>
      </c>
      <c r="E1665" s="5" t="s">
        <v>5547</v>
      </c>
      <c r="F1665" s="3" t="s">
        <v>5548</v>
      </c>
      <c r="G1665" s="3" t="s">
        <v>5549</v>
      </c>
      <c r="H1665" s="2" t="str">
        <f>"2012"</f>
        <v>2012</v>
      </c>
      <c r="I1665" t="s">
        <v>14</v>
      </c>
      <c r="J1665" t="s">
        <v>15</v>
      </c>
    </row>
    <row r="1666" spans="1:10">
      <c r="A1666" s="2" t="str">
        <f>"1663"</f>
        <v>1663</v>
      </c>
      <c r="B1666" s="2" t="s">
        <v>9</v>
      </c>
      <c r="C1666" s="2" t="str">
        <f>"1 (1)"</f>
        <v>1 (1)</v>
      </c>
      <c r="D1666" s="2" t="s">
        <v>5550</v>
      </c>
      <c r="E1666" s="5" t="s">
        <v>5551</v>
      </c>
      <c r="F1666" s="3" t="s">
        <v>5552</v>
      </c>
      <c r="G1666" s="3" t="s">
        <v>5553</v>
      </c>
      <c r="H1666" s="2" t="str">
        <f>"2013"</f>
        <v>2013</v>
      </c>
      <c r="I1666" t="s">
        <v>14</v>
      </c>
      <c r="J1666" t="s">
        <v>15</v>
      </c>
    </row>
    <row r="1667" spans="1:10">
      <c r="A1667" s="2" t="str">
        <f>"1664"</f>
        <v>1664</v>
      </c>
      <c r="B1667" s="2" t="s">
        <v>9</v>
      </c>
      <c r="C1667" s="2" t="str">
        <f>"1 (1)"</f>
        <v>1 (1)</v>
      </c>
      <c r="D1667" s="2" t="s">
        <v>5554</v>
      </c>
      <c r="E1667" s="5" t="s">
        <v>5555</v>
      </c>
      <c r="F1667" s="3" t="s">
        <v>5556</v>
      </c>
      <c r="G1667" s="3" t="s">
        <v>2301</v>
      </c>
      <c r="H1667" s="2" t="str">
        <f>"2013"</f>
        <v>2013</v>
      </c>
      <c r="I1667" t="s">
        <v>14</v>
      </c>
      <c r="J1667" t="s">
        <v>15</v>
      </c>
    </row>
    <row r="1668" spans="1:10">
      <c r="A1668" s="2" t="str">
        <f>"1665"</f>
        <v>1665</v>
      </c>
      <c r="B1668" s="2" t="s">
        <v>9</v>
      </c>
      <c r="C1668" s="2" t="str">
        <f>"1 (1)"</f>
        <v>1 (1)</v>
      </c>
      <c r="D1668" s="2" t="s">
        <v>5557</v>
      </c>
      <c r="E1668" s="5" t="s">
        <v>5558</v>
      </c>
      <c r="F1668" s="3" t="s">
        <v>5559</v>
      </c>
      <c r="G1668" s="3" t="s">
        <v>4753</v>
      </c>
      <c r="H1668" s="2" t="str">
        <f>"2012"</f>
        <v>2012</v>
      </c>
      <c r="I1668" t="s">
        <v>14</v>
      </c>
      <c r="J1668" t="s">
        <v>15</v>
      </c>
    </row>
    <row r="1669" spans="1:10">
      <c r="A1669" s="2" t="str">
        <f>"1666"</f>
        <v>1666</v>
      </c>
      <c r="B1669" s="2" t="s">
        <v>9</v>
      </c>
      <c r="C1669" s="2" t="str">
        <f>"1 (1)"</f>
        <v>1 (1)</v>
      </c>
      <c r="D1669" s="2" t="s">
        <v>5560</v>
      </c>
      <c r="E1669" s="5" t="s">
        <v>5561</v>
      </c>
      <c r="F1669" s="3" t="s">
        <v>5562</v>
      </c>
      <c r="G1669" s="3" t="s">
        <v>5563</v>
      </c>
      <c r="H1669" s="2" t="str">
        <f>"2012"</f>
        <v>2012</v>
      </c>
      <c r="I1669" t="s">
        <v>14</v>
      </c>
      <c r="J1669" t="s">
        <v>15</v>
      </c>
    </row>
    <row r="1670" spans="1:10">
      <c r="A1670" s="2" t="str">
        <f>"1667"</f>
        <v>1667</v>
      </c>
      <c r="B1670" s="2" t="s">
        <v>9</v>
      </c>
      <c r="C1670" s="2" t="str">
        <f>"1 (1)"</f>
        <v>1 (1)</v>
      </c>
      <c r="D1670" s="2" t="s">
        <v>5564</v>
      </c>
      <c r="E1670" s="5" t="s">
        <v>5565</v>
      </c>
      <c r="F1670" s="3" t="s">
        <v>5566</v>
      </c>
      <c r="G1670" s="3" t="s">
        <v>5567</v>
      </c>
      <c r="H1670" s="2" t="str">
        <f>"2013"</f>
        <v>2013</v>
      </c>
      <c r="I1670" t="s">
        <v>14</v>
      </c>
      <c r="J1670" t="s">
        <v>15</v>
      </c>
    </row>
    <row r="1671" spans="1:10">
      <c r="A1671" s="2" t="str">
        <f>"1668"</f>
        <v>1668</v>
      </c>
      <c r="B1671" s="2" t="s">
        <v>9</v>
      </c>
      <c r="C1671" s="2" t="str">
        <f>"1 (1)"</f>
        <v>1 (1)</v>
      </c>
      <c r="D1671" s="2" t="s">
        <v>5568</v>
      </c>
      <c r="E1671" s="5" t="s">
        <v>5569</v>
      </c>
      <c r="F1671" s="3" t="s">
        <v>5570</v>
      </c>
      <c r="G1671" s="3" t="s">
        <v>5571</v>
      </c>
      <c r="H1671" s="2" t="str">
        <f>"2012"</f>
        <v>2012</v>
      </c>
      <c r="I1671" t="s">
        <v>14</v>
      </c>
      <c r="J1671" t="s">
        <v>15</v>
      </c>
    </row>
    <row r="1672" spans="1:10">
      <c r="A1672" s="2" t="str">
        <f>"1669"</f>
        <v>1669</v>
      </c>
      <c r="B1672" s="2" t="s">
        <v>9</v>
      </c>
      <c r="C1672" s="2" t="str">
        <f>"1 (1)"</f>
        <v>1 (1)</v>
      </c>
      <c r="D1672" s="2" t="s">
        <v>5572</v>
      </c>
      <c r="E1672" s="5" t="s">
        <v>5573</v>
      </c>
      <c r="F1672" s="3" t="s">
        <v>5574</v>
      </c>
      <c r="G1672" s="3" t="s">
        <v>5575</v>
      </c>
      <c r="H1672" s="2" t="str">
        <f>"2013"</f>
        <v>2013</v>
      </c>
      <c r="I1672" t="s">
        <v>14</v>
      </c>
      <c r="J1672" t="s">
        <v>15</v>
      </c>
    </row>
    <row r="1673" spans="1:10">
      <c r="A1673" s="2" t="str">
        <f>"1670"</f>
        <v>1670</v>
      </c>
      <c r="B1673" s="2" t="s">
        <v>9</v>
      </c>
      <c r="C1673" s="2" t="str">
        <f>"1 (1)"</f>
        <v>1 (1)</v>
      </c>
      <c r="D1673" s="2" t="s">
        <v>5576</v>
      </c>
      <c r="E1673" s="5" t="s">
        <v>5577</v>
      </c>
      <c r="F1673" s="3" t="s">
        <v>5578</v>
      </c>
      <c r="G1673" s="3" t="s">
        <v>3270</v>
      </c>
      <c r="H1673" s="2" t="str">
        <f>"2013"</f>
        <v>2013</v>
      </c>
      <c r="I1673" t="s">
        <v>14</v>
      </c>
      <c r="J1673" t="s">
        <v>15</v>
      </c>
    </row>
    <row r="1674" spans="1:10">
      <c r="A1674" s="2" t="str">
        <f>"1671"</f>
        <v>1671</v>
      </c>
      <c r="B1674" s="2" t="s">
        <v>9</v>
      </c>
      <c r="C1674" s="2" t="str">
        <f>"1 (1)"</f>
        <v>1 (1)</v>
      </c>
      <c r="D1674" s="2" t="s">
        <v>5579</v>
      </c>
      <c r="E1674" s="5" t="s">
        <v>5580</v>
      </c>
      <c r="F1674" s="3" t="s">
        <v>5581</v>
      </c>
      <c r="G1674" s="3" t="s">
        <v>2102</v>
      </c>
      <c r="H1674" s="2" t="str">
        <f>"2012"</f>
        <v>2012</v>
      </c>
      <c r="I1674" t="s">
        <v>14</v>
      </c>
      <c r="J1674" t="s">
        <v>15</v>
      </c>
    </row>
    <row r="1675" spans="1:10">
      <c r="A1675" s="2" t="str">
        <f>"1672"</f>
        <v>1672</v>
      </c>
      <c r="B1675" s="2" t="s">
        <v>9</v>
      </c>
      <c r="C1675" s="2" t="str">
        <f>"1 (1)"</f>
        <v>1 (1)</v>
      </c>
      <c r="D1675" s="2" t="s">
        <v>5582</v>
      </c>
      <c r="E1675" s="5" t="s">
        <v>5583</v>
      </c>
      <c r="F1675" s="3" t="s">
        <v>5584</v>
      </c>
      <c r="G1675" s="3" t="s">
        <v>2484</v>
      </c>
      <c r="H1675" s="2" t="str">
        <f>"2013"</f>
        <v>2013</v>
      </c>
      <c r="I1675" t="s">
        <v>14</v>
      </c>
      <c r="J1675" t="s">
        <v>15</v>
      </c>
    </row>
    <row r="1676" spans="1:10">
      <c r="A1676" s="2" t="str">
        <f>"1673"</f>
        <v>1673</v>
      </c>
      <c r="B1676" s="2" t="s">
        <v>9</v>
      </c>
      <c r="C1676" s="2" t="str">
        <f>"1 (1)"</f>
        <v>1 (1)</v>
      </c>
      <c r="D1676" s="2" t="s">
        <v>5585</v>
      </c>
      <c r="E1676" s="5" t="s">
        <v>5586</v>
      </c>
      <c r="F1676" s="3" t="s">
        <v>5587</v>
      </c>
      <c r="G1676" s="3" t="s">
        <v>3305</v>
      </c>
      <c r="H1676" s="2" t="str">
        <f>"2013"</f>
        <v>2013</v>
      </c>
      <c r="I1676" t="s">
        <v>14</v>
      </c>
      <c r="J1676" t="s">
        <v>15</v>
      </c>
    </row>
    <row r="1677" spans="1:10">
      <c r="A1677" s="2" t="str">
        <f>"1674"</f>
        <v>1674</v>
      </c>
      <c r="B1677" s="2" t="s">
        <v>9</v>
      </c>
      <c r="C1677" s="2" t="str">
        <f>"1 (1)"</f>
        <v>1 (1)</v>
      </c>
      <c r="D1677" s="2" t="s">
        <v>5588</v>
      </c>
      <c r="E1677" s="5" t="s">
        <v>5589</v>
      </c>
      <c r="F1677" s="3" t="s">
        <v>5590</v>
      </c>
      <c r="G1677" s="3" t="s">
        <v>3929</v>
      </c>
      <c r="H1677" s="2" t="str">
        <f>"2012"</f>
        <v>2012</v>
      </c>
      <c r="I1677" t="s">
        <v>14</v>
      </c>
      <c r="J1677" t="s">
        <v>15</v>
      </c>
    </row>
    <row r="1678" spans="1:10">
      <c r="A1678" s="2" t="str">
        <f>"1675"</f>
        <v>1675</v>
      </c>
      <c r="B1678" s="2" t="s">
        <v>9</v>
      </c>
      <c r="C1678" s="2" t="str">
        <f>"1 (1)"</f>
        <v>1 (1)</v>
      </c>
      <c r="D1678" s="2" t="s">
        <v>5591</v>
      </c>
      <c r="E1678" s="5" t="s">
        <v>5592</v>
      </c>
      <c r="F1678" s="3" t="s">
        <v>5593</v>
      </c>
      <c r="G1678" s="3" t="s">
        <v>5594</v>
      </c>
      <c r="H1678" s="2" t="str">
        <f>"2012"</f>
        <v>2012</v>
      </c>
      <c r="I1678" t="s">
        <v>14</v>
      </c>
      <c r="J1678" t="s">
        <v>15</v>
      </c>
    </row>
    <row r="1679" spans="1:10">
      <c r="A1679" s="2" t="str">
        <f>"1676"</f>
        <v>1676</v>
      </c>
      <c r="B1679" s="2" t="s">
        <v>9</v>
      </c>
      <c r="C1679" s="2" t="str">
        <f>"1 (1)"</f>
        <v>1 (1)</v>
      </c>
      <c r="D1679" s="2" t="s">
        <v>5595</v>
      </c>
      <c r="E1679" s="5" t="s">
        <v>5596</v>
      </c>
      <c r="F1679" s="3" t="s">
        <v>5597</v>
      </c>
      <c r="G1679" s="3" t="s">
        <v>5598</v>
      </c>
      <c r="H1679" s="2" t="str">
        <f>"2013"</f>
        <v>2013</v>
      </c>
      <c r="I1679" t="s">
        <v>14</v>
      </c>
      <c r="J1679" t="s">
        <v>15</v>
      </c>
    </row>
    <row r="1680" spans="1:10">
      <c r="A1680" s="2" t="str">
        <f>"1677"</f>
        <v>1677</v>
      </c>
      <c r="B1680" s="2" t="s">
        <v>9</v>
      </c>
      <c r="C1680" s="2" t="str">
        <f>"1 (1)"</f>
        <v>1 (1)</v>
      </c>
      <c r="D1680" s="2" t="s">
        <v>5599</v>
      </c>
      <c r="E1680" s="5" t="s">
        <v>5600</v>
      </c>
      <c r="F1680" s="3" t="s">
        <v>5601</v>
      </c>
      <c r="G1680" s="3" t="s">
        <v>2541</v>
      </c>
      <c r="H1680" s="2" t="str">
        <f>"2012"</f>
        <v>2012</v>
      </c>
      <c r="I1680" t="s">
        <v>14</v>
      </c>
      <c r="J1680" t="s">
        <v>15</v>
      </c>
    </row>
    <row r="1681" spans="1:10">
      <c r="A1681" s="2" t="str">
        <f>"1678"</f>
        <v>1678</v>
      </c>
      <c r="B1681" s="2" t="s">
        <v>9</v>
      </c>
      <c r="C1681" s="2" t="str">
        <f>"1 (1)"</f>
        <v>1 (1)</v>
      </c>
      <c r="D1681" s="2" t="s">
        <v>5602</v>
      </c>
      <c r="E1681" s="5" t="s">
        <v>5603</v>
      </c>
      <c r="F1681" s="3" t="s">
        <v>5604</v>
      </c>
      <c r="G1681" s="3" t="s">
        <v>4343</v>
      </c>
      <c r="H1681" s="2" t="str">
        <f>"2012"</f>
        <v>2012</v>
      </c>
      <c r="I1681" t="s">
        <v>14</v>
      </c>
      <c r="J1681" t="s">
        <v>15</v>
      </c>
    </row>
    <row r="1682" spans="1:10">
      <c r="A1682" s="2" t="str">
        <f>"1679"</f>
        <v>1679</v>
      </c>
      <c r="B1682" s="2" t="s">
        <v>9</v>
      </c>
      <c r="C1682" s="2" t="str">
        <f>"1 (1)"</f>
        <v>1 (1)</v>
      </c>
      <c r="D1682" s="2" t="s">
        <v>5605</v>
      </c>
      <c r="E1682" s="5" t="s">
        <v>5606</v>
      </c>
      <c r="F1682" s="3" t="s">
        <v>5607</v>
      </c>
      <c r="G1682" s="3" t="s">
        <v>880</v>
      </c>
      <c r="H1682" s="2" t="str">
        <f>"2013"</f>
        <v>2013</v>
      </c>
      <c r="I1682" t="s">
        <v>14</v>
      </c>
      <c r="J1682" t="s">
        <v>15</v>
      </c>
    </row>
    <row r="1683" spans="1:10">
      <c r="A1683" s="2" t="str">
        <f>"1680"</f>
        <v>1680</v>
      </c>
      <c r="B1683" s="2" t="s">
        <v>9</v>
      </c>
      <c r="C1683" s="2" t="str">
        <f>"1 (1)"</f>
        <v>1 (1)</v>
      </c>
      <c r="D1683" s="2" t="s">
        <v>5608</v>
      </c>
      <c r="E1683" s="5" t="s">
        <v>5609</v>
      </c>
      <c r="F1683" s="3" t="s">
        <v>5610</v>
      </c>
      <c r="G1683" s="3" t="s">
        <v>3348</v>
      </c>
      <c r="H1683" s="2" t="str">
        <f>"2012"</f>
        <v>2012</v>
      </c>
      <c r="I1683" t="s">
        <v>14</v>
      </c>
      <c r="J1683" t="s">
        <v>15</v>
      </c>
    </row>
    <row r="1684" spans="1:10">
      <c r="A1684" s="2" t="str">
        <f>"1681"</f>
        <v>1681</v>
      </c>
      <c r="B1684" s="2" t="s">
        <v>9</v>
      </c>
      <c r="C1684" s="2" t="str">
        <f>"1 (1)"</f>
        <v>1 (1)</v>
      </c>
      <c r="D1684" s="2" t="s">
        <v>5611</v>
      </c>
      <c r="E1684" s="5" t="s">
        <v>5612</v>
      </c>
      <c r="F1684" s="3" t="s">
        <v>5613</v>
      </c>
      <c r="G1684" s="3" t="s">
        <v>5614</v>
      </c>
      <c r="H1684" s="2" t="str">
        <f>"2013"</f>
        <v>2013</v>
      </c>
      <c r="I1684" t="s">
        <v>14</v>
      </c>
      <c r="J1684" t="s">
        <v>15</v>
      </c>
    </row>
    <row r="1685" spans="1:10">
      <c r="A1685" s="2" t="str">
        <f>"1682"</f>
        <v>1682</v>
      </c>
      <c r="B1685" s="2" t="s">
        <v>9</v>
      </c>
      <c r="C1685" s="2" t="str">
        <f>"1 (1)"</f>
        <v>1 (1)</v>
      </c>
      <c r="D1685" s="2" t="s">
        <v>5615</v>
      </c>
      <c r="E1685" s="5" t="s">
        <v>5616</v>
      </c>
      <c r="F1685" s="3" t="s">
        <v>5617</v>
      </c>
      <c r="G1685" s="3" t="s">
        <v>3161</v>
      </c>
      <c r="H1685" s="2" t="str">
        <f>"2010"</f>
        <v>2010</v>
      </c>
      <c r="I1685" t="s">
        <v>14</v>
      </c>
      <c r="J1685" t="s">
        <v>15</v>
      </c>
    </row>
    <row r="1686" spans="1:10">
      <c r="A1686" s="2" t="str">
        <f>"1683"</f>
        <v>1683</v>
      </c>
      <c r="B1686" s="2" t="s">
        <v>9</v>
      </c>
      <c r="C1686" s="2" t="str">
        <f>"1 (1)"</f>
        <v>1 (1)</v>
      </c>
      <c r="D1686" s="2" t="s">
        <v>5618</v>
      </c>
      <c r="E1686" s="5" t="s">
        <v>5619</v>
      </c>
      <c r="F1686" s="3" t="s">
        <v>5620</v>
      </c>
      <c r="G1686" s="3" t="s">
        <v>5621</v>
      </c>
      <c r="H1686" s="2" t="str">
        <f>"2013"</f>
        <v>2013</v>
      </c>
      <c r="I1686" t="s">
        <v>14</v>
      </c>
      <c r="J1686" t="s">
        <v>15</v>
      </c>
    </row>
    <row r="1687" spans="1:10">
      <c r="A1687" s="2" t="str">
        <f>"1684"</f>
        <v>1684</v>
      </c>
      <c r="B1687" s="2" t="s">
        <v>9</v>
      </c>
      <c r="C1687" s="2" t="str">
        <f>"1 (1)"</f>
        <v>1 (1)</v>
      </c>
      <c r="D1687" s="2" t="s">
        <v>5622</v>
      </c>
      <c r="E1687" s="5" t="s">
        <v>5623</v>
      </c>
      <c r="F1687" s="3" t="s">
        <v>5624</v>
      </c>
      <c r="G1687" s="3" t="s">
        <v>5549</v>
      </c>
      <c r="H1687" s="2" t="str">
        <f>"2013"</f>
        <v>2013</v>
      </c>
      <c r="I1687" t="s">
        <v>14</v>
      </c>
      <c r="J1687" t="s">
        <v>15</v>
      </c>
    </row>
    <row r="1688" spans="1:10">
      <c r="A1688" s="2" t="str">
        <f>"1685"</f>
        <v>1685</v>
      </c>
      <c r="B1688" s="2" t="s">
        <v>9</v>
      </c>
      <c r="C1688" s="2" t="str">
        <f>"1 (1)"</f>
        <v>1 (1)</v>
      </c>
      <c r="D1688" s="2" t="s">
        <v>5625</v>
      </c>
      <c r="E1688" s="5" t="s">
        <v>5626</v>
      </c>
      <c r="F1688" s="3" t="s">
        <v>5627</v>
      </c>
      <c r="G1688" s="3" t="s">
        <v>5598</v>
      </c>
      <c r="H1688" s="2" t="str">
        <f>"2013"</f>
        <v>2013</v>
      </c>
      <c r="I1688" t="s">
        <v>14</v>
      </c>
      <c r="J1688" t="s">
        <v>15</v>
      </c>
    </row>
    <row r="1689" spans="1:10">
      <c r="A1689" s="2" t="str">
        <f>"1686"</f>
        <v>1686</v>
      </c>
      <c r="B1689" s="2" t="s">
        <v>9</v>
      </c>
      <c r="C1689" s="2" t="str">
        <f>"1 (1)"</f>
        <v>1 (1)</v>
      </c>
      <c r="D1689" s="2" t="s">
        <v>5628</v>
      </c>
      <c r="E1689" s="5" t="s">
        <v>5629</v>
      </c>
      <c r="F1689" s="3" t="s">
        <v>5630</v>
      </c>
      <c r="G1689" s="3" t="s">
        <v>5442</v>
      </c>
      <c r="H1689" s="2" t="str">
        <f>"2013"</f>
        <v>2013</v>
      </c>
      <c r="I1689" t="s">
        <v>14</v>
      </c>
      <c r="J1689" t="s">
        <v>15</v>
      </c>
    </row>
    <row r="1690" spans="1:10">
      <c r="A1690" s="2" t="str">
        <f>"1687"</f>
        <v>1687</v>
      </c>
      <c r="B1690" s="2" t="s">
        <v>9</v>
      </c>
      <c r="C1690" s="2" t="str">
        <f>"1 (1)"</f>
        <v>1 (1)</v>
      </c>
      <c r="D1690" s="2" t="s">
        <v>5631</v>
      </c>
      <c r="E1690" s="5" t="s">
        <v>5632</v>
      </c>
      <c r="F1690" s="3" t="s">
        <v>5633</v>
      </c>
      <c r="G1690" s="3" t="s">
        <v>3161</v>
      </c>
      <c r="H1690" s="2" t="str">
        <f>"2013"</f>
        <v>2013</v>
      </c>
      <c r="I1690" t="s">
        <v>14</v>
      </c>
      <c r="J1690" t="s">
        <v>15</v>
      </c>
    </row>
    <row r="1691" spans="1:10">
      <c r="A1691" s="2" t="str">
        <f>"1688"</f>
        <v>1688</v>
      </c>
      <c r="B1691" s="2" t="s">
        <v>9</v>
      </c>
      <c r="C1691" s="2" t="str">
        <f>"1 (1)"</f>
        <v>1 (1)</v>
      </c>
      <c r="D1691" s="2" t="s">
        <v>5634</v>
      </c>
      <c r="E1691" s="5" t="s">
        <v>5635</v>
      </c>
      <c r="F1691" s="3" t="s">
        <v>5636</v>
      </c>
      <c r="G1691" s="3" t="s">
        <v>3386</v>
      </c>
      <c r="H1691" s="2" t="str">
        <f>"2012"</f>
        <v>2012</v>
      </c>
      <c r="I1691" t="s">
        <v>14</v>
      </c>
      <c r="J1691" t="s">
        <v>15</v>
      </c>
    </row>
    <row r="1692" spans="1:10">
      <c r="A1692" s="2" t="str">
        <f>"1689"</f>
        <v>1689</v>
      </c>
      <c r="B1692" s="2" t="s">
        <v>9</v>
      </c>
      <c r="C1692" s="2" t="str">
        <f>"1 (1)"</f>
        <v>1 (1)</v>
      </c>
      <c r="D1692" s="2" t="s">
        <v>5637</v>
      </c>
      <c r="E1692" s="5" t="s">
        <v>5638</v>
      </c>
      <c r="F1692" s="3" t="s">
        <v>5639</v>
      </c>
      <c r="G1692" s="3" t="s">
        <v>5640</v>
      </c>
      <c r="H1692" s="2" t="str">
        <f>"2013"</f>
        <v>2013</v>
      </c>
      <c r="I1692" t="s">
        <v>14</v>
      </c>
      <c r="J1692" t="s">
        <v>15</v>
      </c>
    </row>
    <row r="1693" spans="1:10">
      <c r="A1693" s="2" t="str">
        <f>"1690"</f>
        <v>1690</v>
      </c>
      <c r="B1693" s="2" t="s">
        <v>9</v>
      </c>
      <c r="C1693" s="2" t="str">
        <f>"1 (1)"</f>
        <v>1 (1)</v>
      </c>
      <c r="D1693" s="2" t="s">
        <v>5641</v>
      </c>
      <c r="E1693" s="5" t="s">
        <v>5642</v>
      </c>
      <c r="F1693" s="3" t="s">
        <v>5643</v>
      </c>
      <c r="G1693" s="3" t="s">
        <v>2742</v>
      </c>
      <c r="H1693" s="2" t="str">
        <f>"2013"</f>
        <v>2013</v>
      </c>
      <c r="I1693" t="s">
        <v>14</v>
      </c>
      <c r="J1693" t="s">
        <v>15</v>
      </c>
    </row>
    <row r="1694" spans="1:10">
      <c r="A1694" s="2" t="str">
        <f>"1691"</f>
        <v>1691</v>
      </c>
      <c r="B1694" s="2" t="s">
        <v>9</v>
      </c>
      <c r="C1694" s="2" t="str">
        <f>"1 (1)"</f>
        <v>1 (1)</v>
      </c>
      <c r="D1694" s="2" t="s">
        <v>5644</v>
      </c>
      <c r="E1694" s="5" t="s">
        <v>5645</v>
      </c>
      <c r="F1694" s="3" t="s">
        <v>5646</v>
      </c>
      <c r="G1694" s="3" t="s">
        <v>5647</v>
      </c>
      <c r="H1694" s="2" t="str">
        <f>"2013"</f>
        <v>2013</v>
      </c>
      <c r="I1694" t="s">
        <v>14</v>
      </c>
      <c r="J1694" t="s">
        <v>15</v>
      </c>
    </row>
    <row r="1695" spans="1:10">
      <c r="A1695" s="2" t="str">
        <f>"1692"</f>
        <v>1692</v>
      </c>
      <c r="B1695" s="2" t="s">
        <v>9</v>
      </c>
      <c r="C1695" s="2" t="str">
        <f>"1 (1)"</f>
        <v>1 (1)</v>
      </c>
      <c r="D1695" s="2" t="s">
        <v>5648</v>
      </c>
      <c r="E1695" s="5" t="s">
        <v>5649</v>
      </c>
      <c r="F1695" s="3" t="s">
        <v>5650</v>
      </c>
      <c r="G1695" s="3" t="s">
        <v>3106</v>
      </c>
      <c r="H1695" s="2" t="str">
        <f>"2013"</f>
        <v>2013</v>
      </c>
      <c r="I1695" t="s">
        <v>14</v>
      </c>
      <c r="J1695" t="s">
        <v>15</v>
      </c>
    </row>
    <row r="1696" spans="1:10">
      <c r="A1696" s="2" t="str">
        <f>"1693"</f>
        <v>1693</v>
      </c>
      <c r="B1696" s="2" t="s">
        <v>9</v>
      </c>
      <c r="C1696" s="2" t="str">
        <f>"1 (1)"</f>
        <v>1 (1)</v>
      </c>
      <c r="D1696" s="2" t="s">
        <v>5651</v>
      </c>
      <c r="E1696" s="5" t="s">
        <v>5652</v>
      </c>
      <c r="F1696" s="3" t="s">
        <v>5653</v>
      </c>
      <c r="G1696" s="3" t="s">
        <v>5654</v>
      </c>
      <c r="H1696" s="2" t="str">
        <f>"2012"</f>
        <v>2012</v>
      </c>
      <c r="I1696" t="s">
        <v>14</v>
      </c>
      <c r="J1696" t="s">
        <v>15</v>
      </c>
    </row>
    <row r="1697" spans="1:10">
      <c r="A1697" s="2" t="str">
        <f>"1694"</f>
        <v>1694</v>
      </c>
      <c r="B1697" s="2" t="s">
        <v>9</v>
      </c>
      <c r="C1697" s="2" t="str">
        <f>"1 (1)"</f>
        <v>1 (1)</v>
      </c>
      <c r="D1697" s="2" t="s">
        <v>5655</v>
      </c>
      <c r="E1697" s="5" t="s">
        <v>5656</v>
      </c>
      <c r="F1697" s="3" t="s">
        <v>5657</v>
      </c>
      <c r="G1697" s="3" t="s">
        <v>5658</v>
      </c>
      <c r="H1697" s="2" t="str">
        <f>"2012"</f>
        <v>2012</v>
      </c>
      <c r="I1697" t="s">
        <v>14</v>
      </c>
      <c r="J1697" t="s">
        <v>15</v>
      </c>
    </row>
    <row r="1698" spans="1:10">
      <c r="A1698" s="2" t="str">
        <f>"1695"</f>
        <v>1695</v>
      </c>
      <c r="B1698" s="2" t="s">
        <v>9</v>
      </c>
      <c r="C1698" s="2" t="str">
        <f>"1 (1)"</f>
        <v>1 (1)</v>
      </c>
      <c r="D1698" s="2" t="s">
        <v>5659</v>
      </c>
      <c r="E1698" s="5" t="s">
        <v>5660</v>
      </c>
      <c r="F1698" s="3" t="s">
        <v>5661</v>
      </c>
      <c r="G1698" s="3" t="s">
        <v>5662</v>
      </c>
      <c r="H1698" s="2" t="str">
        <f>"2013"</f>
        <v>2013</v>
      </c>
      <c r="I1698" t="s">
        <v>14</v>
      </c>
      <c r="J1698" t="s">
        <v>15</v>
      </c>
    </row>
    <row r="1699" spans="1:10">
      <c r="A1699" s="2" t="str">
        <f>"1696"</f>
        <v>1696</v>
      </c>
      <c r="B1699" s="2" t="s">
        <v>9</v>
      </c>
      <c r="C1699" s="2" t="str">
        <f>"1 (1)"</f>
        <v>1 (1)</v>
      </c>
      <c r="D1699" s="2" t="s">
        <v>5663</v>
      </c>
      <c r="E1699" s="5" t="s">
        <v>5664</v>
      </c>
      <c r="F1699" s="3" t="s">
        <v>5665</v>
      </c>
      <c r="G1699" s="3" t="s">
        <v>5666</v>
      </c>
      <c r="H1699" s="2" t="str">
        <f>"2013"</f>
        <v>2013</v>
      </c>
      <c r="I1699" t="s">
        <v>14</v>
      </c>
      <c r="J1699" t="s">
        <v>15</v>
      </c>
    </row>
    <row r="1700" spans="1:10">
      <c r="A1700" s="2" t="str">
        <f>"1697"</f>
        <v>1697</v>
      </c>
      <c r="B1700" s="2" t="s">
        <v>9</v>
      </c>
      <c r="C1700" s="2" t="str">
        <f>"1 (1)"</f>
        <v>1 (1)</v>
      </c>
      <c r="D1700" s="2" t="s">
        <v>5667</v>
      </c>
      <c r="E1700" s="5" t="s">
        <v>5668</v>
      </c>
      <c r="F1700" s="3" t="s">
        <v>5669</v>
      </c>
      <c r="G1700" s="3" t="s">
        <v>5670</v>
      </c>
      <c r="H1700" s="2" t="str">
        <f>"2013"</f>
        <v>2013</v>
      </c>
      <c r="I1700" t="s">
        <v>14</v>
      </c>
      <c r="J1700" t="s">
        <v>15</v>
      </c>
    </row>
    <row r="1701" spans="1:10">
      <c r="A1701" s="2" t="str">
        <f>"1698"</f>
        <v>1698</v>
      </c>
      <c r="B1701" s="2" t="s">
        <v>9</v>
      </c>
      <c r="C1701" s="2" t="str">
        <f>"1 (1)"</f>
        <v>1 (1)</v>
      </c>
      <c r="D1701" s="2" t="s">
        <v>5671</v>
      </c>
      <c r="E1701" s="5" t="s">
        <v>5672</v>
      </c>
      <c r="F1701" s="3" t="s">
        <v>5669</v>
      </c>
      <c r="G1701" s="3" t="s">
        <v>5673</v>
      </c>
      <c r="H1701" s="2" t="str">
        <f>"2013"</f>
        <v>2013</v>
      </c>
      <c r="I1701" t="s">
        <v>14</v>
      </c>
      <c r="J1701" t="s">
        <v>15</v>
      </c>
    </row>
    <row r="1702" spans="1:10">
      <c r="A1702" s="2" t="str">
        <f>"1699"</f>
        <v>1699</v>
      </c>
      <c r="B1702" s="2" t="s">
        <v>9</v>
      </c>
      <c r="C1702" s="2" t="str">
        <f>"1 (1)"</f>
        <v>1 (1)</v>
      </c>
      <c r="D1702" s="2" t="s">
        <v>5674</v>
      </c>
      <c r="E1702" s="5" t="s">
        <v>5675</v>
      </c>
      <c r="F1702" s="3" t="s">
        <v>5676</v>
      </c>
      <c r="G1702" s="3" t="s">
        <v>5677</v>
      </c>
      <c r="H1702" s="2" t="str">
        <f>"2012"</f>
        <v>2012</v>
      </c>
      <c r="I1702" t="s">
        <v>14</v>
      </c>
      <c r="J1702" t="s">
        <v>15</v>
      </c>
    </row>
    <row r="1703" spans="1:10">
      <c r="A1703" s="2" t="str">
        <f>"1700"</f>
        <v>1700</v>
      </c>
      <c r="B1703" s="2" t="s">
        <v>9</v>
      </c>
      <c r="C1703" s="2" t="str">
        <f>"1 (1)"</f>
        <v>1 (1)</v>
      </c>
      <c r="D1703" s="2" t="s">
        <v>5678</v>
      </c>
      <c r="E1703" s="5" t="s">
        <v>5679</v>
      </c>
      <c r="F1703" s="3" t="s">
        <v>5676</v>
      </c>
      <c r="G1703" s="3" t="s">
        <v>5677</v>
      </c>
      <c r="H1703" s="2" t="str">
        <f>"2012"</f>
        <v>2012</v>
      </c>
      <c r="I1703" t="s">
        <v>14</v>
      </c>
      <c r="J1703" t="s">
        <v>15</v>
      </c>
    </row>
    <row r="1704" spans="1:10">
      <c r="A1704" s="2" t="str">
        <f>"1701"</f>
        <v>1701</v>
      </c>
      <c r="B1704" s="2" t="s">
        <v>9</v>
      </c>
      <c r="C1704" s="2" t="str">
        <f>"1 (1)"</f>
        <v>1 (1)</v>
      </c>
      <c r="D1704" s="2" t="s">
        <v>5680</v>
      </c>
      <c r="E1704" s="5" t="s">
        <v>5681</v>
      </c>
      <c r="F1704" s="3" t="s">
        <v>5682</v>
      </c>
      <c r="G1704" s="3" t="s">
        <v>5683</v>
      </c>
      <c r="H1704" s="2" t="str">
        <f>"2011"</f>
        <v>2011</v>
      </c>
      <c r="I1704" t="s">
        <v>14</v>
      </c>
      <c r="J1704" t="s">
        <v>15</v>
      </c>
    </row>
    <row r="1705" spans="1:10">
      <c r="A1705" s="2" t="str">
        <f>"1702"</f>
        <v>1702</v>
      </c>
      <c r="B1705" s="2" t="s">
        <v>9</v>
      </c>
      <c r="C1705" s="2" t="str">
        <f>"1 (1)"</f>
        <v>1 (1)</v>
      </c>
      <c r="D1705" s="2" t="s">
        <v>5684</v>
      </c>
      <c r="E1705" s="5" t="s">
        <v>5685</v>
      </c>
      <c r="F1705" s="3" t="s">
        <v>5686</v>
      </c>
      <c r="G1705" s="3" t="s">
        <v>2259</v>
      </c>
      <c r="H1705" s="2" t="str">
        <f>"2013"</f>
        <v>2013</v>
      </c>
      <c r="I1705" t="s">
        <v>14</v>
      </c>
      <c r="J1705" t="s">
        <v>15</v>
      </c>
    </row>
    <row r="1706" spans="1:10">
      <c r="A1706" s="2" t="str">
        <f>"1703"</f>
        <v>1703</v>
      </c>
      <c r="B1706" s="2" t="s">
        <v>9</v>
      </c>
      <c r="C1706" s="2" t="str">
        <f>"1 (1)"</f>
        <v>1 (1)</v>
      </c>
      <c r="D1706" s="2" t="s">
        <v>5687</v>
      </c>
      <c r="E1706" s="5" t="s">
        <v>5688</v>
      </c>
      <c r="F1706" s="3" t="s">
        <v>5689</v>
      </c>
      <c r="G1706" s="3" t="s">
        <v>5690</v>
      </c>
      <c r="H1706" s="2" t="str">
        <f>"2013"</f>
        <v>2013</v>
      </c>
      <c r="I1706" t="s">
        <v>14</v>
      </c>
      <c r="J1706" t="s">
        <v>15</v>
      </c>
    </row>
    <row r="1707" spans="1:10">
      <c r="A1707" s="2" t="str">
        <f>"1704"</f>
        <v>1704</v>
      </c>
      <c r="B1707" s="2" t="s">
        <v>9</v>
      </c>
      <c r="C1707" s="2" t="str">
        <f>"1 (1)"</f>
        <v>1 (1)</v>
      </c>
      <c r="D1707" s="2" t="s">
        <v>5691</v>
      </c>
      <c r="E1707" s="5" t="s">
        <v>5692</v>
      </c>
      <c r="F1707" s="3" t="s">
        <v>5693</v>
      </c>
      <c r="G1707" s="3" t="s">
        <v>5694</v>
      </c>
      <c r="H1707" s="2" t="str">
        <f>"2012"</f>
        <v>2012</v>
      </c>
      <c r="I1707" t="s">
        <v>14</v>
      </c>
      <c r="J1707" t="s">
        <v>15</v>
      </c>
    </row>
    <row r="1708" spans="1:10">
      <c r="A1708" s="2" t="str">
        <f>"1705"</f>
        <v>1705</v>
      </c>
      <c r="B1708" s="2" t="s">
        <v>9</v>
      </c>
      <c r="C1708" s="2" t="str">
        <f>"1 (1)"</f>
        <v>1 (1)</v>
      </c>
      <c r="D1708" s="2" t="s">
        <v>5695</v>
      </c>
      <c r="E1708" s="5" t="s">
        <v>5696</v>
      </c>
      <c r="F1708" s="3" t="s">
        <v>5697</v>
      </c>
      <c r="G1708" s="3" t="s">
        <v>5698</v>
      </c>
      <c r="H1708" s="2" t="str">
        <f>"2013"</f>
        <v>2013</v>
      </c>
      <c r="I1708" t="s">
        <v>14</v>
      </c>
      <c r="J1708" t="s">
        <v>15</v>
      </c>
    </row>
    <row r="1709" spans="1:10">
      <c r="A1709" s="2" t="str">
        <f>"1706"</f>
        <v>1706</v>
      </c>
      <c r="B1709" s="2" t="s">
        <v>9</v>
      </c>
      <c r="C1709" s="2" t="str">
        <f>"1 (1)"</f>
        <v>1 (1)</v>
      </c>
      <c r="D1709" s="2" t="s">
        <v>5699</v>
      </c>
      <c r="E1709" s="5" t="s">
        <v>5700</v>
      </c>
      <c r="F1709" s="3" t="s">
        <v>5701</v>
      </c>
      <c r="G1709" s="3" t="s">
        <v>2884</v>
      </c>
      <c r="H1709" s="2" t="str">
        <f>"2013"</f>
        <v>2013</v>
      </c>
      <c r="I1709" t="s">
        <v>14</v>
      </c>
      <c r="J1709" t="s">
        <v>15</v>
      </c>
    </row>
    <row r="1710" spans="1:10">
      <c r="A1710" s="2" t="str">
        <f>"1707"</f>
        <v>1707</v>
      </c>
      <c r="B1710" s="2" t="s">
        <v>9</v>
      </c>
      <c r="C1710" s="2" t="str">
        <f>"1 (1)"</f>
        <v>1 (1)</v>
      </c>
      <c r="D1710" s="2" t="s">
        <v>5702</v>
      </c>
      <c r="E1710" s="5" t="s">
        <v>5703</v>
      </c>
      <c r="F1710" s="3" t="s">
        <v>5704</v>
      </c>
      <c r="G1710" s="3" t="s">
        <v>5705</v>
      </c>
      <c r="H1710" s="2" t="str">
        <f>"2013"</f>
        <v>2013</v>
      </c>
      <c r="I1710" t="s">
        <v>14</v>
      </c>
      <c r="J1710" t="s">
        <v>15</v>
      </c>
    </row>
    <row r="1711" spans="1:10">
      <c r="A1711" s="2" t="str">
        <f>"1708"</f>
        <v>1708</v>
      </c>
      <c r="B1711" s="2" t="s">
        <v>9</v>
      </c>
      <c r="C1711" s="2" t="str">
        <f>"1 (1)"</f>
        <v>1 (1)</v>
      </c>
      <c r="D1711" s="2" t="s">
        <v>5706</v>
      </c>
      <c r="E1711" s="5" t="s">
        <v>5707</v>
      </c>
      <c r="F1711" s="3" t="s">
        <v>5708</v>
      </c>
      <c r="G1711" s="3" t="s">
        <v>5709</v>
      </c>
      <c r="H1711" s="2" t="str">
        <f>"2013"</f>
        <v>2013</v>
      </c>
      <c r="I1711" t="s">
        <v>14</v>
      </c>
      <c r="J1711" t="s">
        <v>15</v>
      </c>
    </row>
    <row r="1712" spans="1:10">
      <c r="A1712" s="2" t="str">
        <f>"1709"</f>
        <v>1709</v>
      </c>
      <c r="B1712" s="2" t="s">
        <v>9</v>
      </c>
      <c r="C1712" s="2" t="str">
        <f>"1 (1)"</f>
        <v>1 (1)</v>
      </c>
      <c r="D1712" s="2" t="s">
        <v>5710</v>
      </c>
      <c r="E1712" s="5" t="s">
        <v>5711</v>
      </c>
      <c r="F1712" s="3" t="s">
        <v>5712</v>
      </c>
      <c r="G1712" s="3" t="s">
        <v>3198</v>
      </c>
      <c r="H1712" s="2" t="str">
        <f>"2013"</f>
        <v>2013</v>
      </c>
      <c r="I1712" t="s">
        <v>14</v>
      </c>
      <c r="J1712" t="s">
        <v>15</v>
      </c>
    </row>
    <row r="1713" spans="1:10">
      <c r="A1713" s="2" t="str">
        <f>"1710"</f>
        <v>1710</v>
      </c>
      <c r="B1713" s="2" t="s">
        <v>9</v>
      </c>
      <c r="C1713" s="2" t="str">
        <f>"1 (1)"</f>
        <v>1 (1)</v>
      </c>
      <c r="D1713" s="2" t="s">
        <v>5713</v>
      </c>
      <c r="E1713" s="5" t="s">
        <v>5714</v>
      </c>
      <c r="F1713" s="3" t="s">
        <v>5715</v>
      </c>
      <c r="G1713" s="3" t="s">
        <v>5716</v>
      </c>
      <c r="H1713" s="2" t="str">
        <f>"2012"</f>
        <v>2012</v>
      </c>
      <c r="I1713" t="s">
        <v>14</v>
      </c>
      <c r="J1713" t="s">
        <v>15</v>
      </c>
    </row>
    <row r="1714" spans="1:10">
      <c r="A1714" s="2" t="str">
        <f>"1711"</f>
        <v>1711</v>
      </c>
      <c r="B1714" s="2" t="s">
        <v>9</v>
      </c>
      <c r="C1714" s="2" t="str">
        <f>"1 (1)"</f>
        <v>1 (1)</v>
      </c>
      <c r="D1714" s="2" t="s">
        <v>5717</v>
      </c>
      <c r="E1714" s="5" t="s">
        <v>5718</v>
      </c>
      <c r="F1714" s="3" t="s">
        <v>5719</v>
      </c>
      <c r="G1714" s="3" t="s">
        <v>5720</v>
      </c>
      <c r="H1714" s="2" t="s">
        <v>5721</v>
      </c>
      <c r="I1714" t="s">
        <v>14</v>
      </c>
      <c r="J1714" t="s">
        <v>15</v>
      </c>
    </row>
    <row r="1715" spans="1:10">
      <c r="A1715" s="2" t="str">
        <f>"1712"</f>
        <v>1712</v>
      </c>
      <c r="B1715" s="2" t="s">
        <v>9</v>
      </c>
      <c r="C1715" s="2" t="str">
        <f>"1 (1)"</f>
        <v>1 (1)</v>
      </c>
      <c r="D1715" s="2" t="s">
        <v>5722</v>
      </c>
      <c r="E1715" s="5" t="s">
        <v>5723</v>
      </c>
      <c r="F1715" s="3" t="s">
        <v>5724</v>
      </c>
      <c r="G1715" s="3" t="s">
        <v>5725</v>
      </c>
      <c r="H1715" s="2" t="str">
        <f>"2012"</f>
        <v>2012</v>
      </c>
      <c r="I1715" t="s">
        <v>14</v>
      </c>
      <c r="J1715" t="s">
        <v>15</v>
      </c>
    </row>
    <row r="1716" spans="1:10">
      <c r="A1716" s="2" t="str">
        <f>"1713"</f>
        <v>1713</v>
      </c>
      <c r="B1716" s="2" t="s">
        <v>9</v>
      </c>
      <c r="C1716" s="2" t="str">
        <f>"1 (1)"</f>
        <v>1 (1)</v>
      </c>
      <c r="D1716" s="2" t="s">
        <v>5726</v>
      </c>
      <c r="E1716" s="5" t="s">
        <v>5727</v>
      </c>
      <c r="F1716" s="3" t="s">
        <v>5728</v>
      </c>
      <c r="G1716" s="3" t="s">
        <v>5729</v>
      </c>
      <c r="H1716" s="2" t="str">
        <f>"2012"</f>
        <v>2012</v>
      </c>
      <c r="I1716" t="s">
        <v>14</v>
      </c>
      <c r="J1716" t="s">
        <v>15</v>
      </c>
    </row>
    <row r="1717" spans="1:10">
      <c r="A1717" s="2" t="str">
        <f>"1714"</f>
        <v>1714</v>
      </c>
      <c r="B1717" s="2" t="s">
        <v>9</v>
      </c>
      <c r="C1717" s="2" t="str">
        <f>"1 (1)"</f>
        <v>1 (1)</v>
      </c>
      <c r="D1717" s="2" t="s">
        <v>5730</v>
      </c>
      <c r="E1717" s="5" t="s">
        <v>5731</v>
      </c>
      <c r="F1717" s="3" t="s">
        <v>5732</v>
      </c>
      <c r="G1717" s="3" t="s">
        <v>5733</v>
      </c>
      <c r="H1717" s="2" t="str">
        <f>"2005"</f>
        <v>2005</v>
      </c>
      <c r="I1717" t="s">
        <v>14</v>
      </c>
      <c r="J1717" t="s">
        <v>15</v>
      </c>
    </row>
    <row r="1718" spans="1:10">
      <c r="A1718" s="2" t="str">
        <f>"1715"</f>
        <v>1715</v>
      </c>
      <c r="B1718" s="2" t="s">
        <v>9</v>
      </c>
      <c r="C1718" s="2" t="str">
        <f>"1 (1)"</f>
        <v>1 (1)</v>
      </c>
      <c r="D1718" s="2" t="s">
        <v>5734</v>
      </c>
      <c r="E1718" s="5" t="s">
        <v>5735</v>
      </c>
      <c r="F1718" s="3" t="s">
        <v>5736</v>
      </c>
      <c r="G1718" s="3" t="s">
        <v>5737</v>
      </c>
      <c r="H1718" s="2" t="str">
        <f>"2012"</f>
        <v>2012</v>
      </c>
      <c r="I1718" t="s">
        <v>14</v>
      </c>
      <c r="J1718" t="s">
        <v>15</v>
      </c>
    </row>
    <row r="1719" spans="1:10">
      <c r="A1719" s="2" t="str">
        <f>"1716"</f>
        <v>1716</v>
      </c>
      <c r="B1719" s="2" t="s">
        <v>9</v>
      </c>
      <c r="C1719" s="2" t="str">
        <f>"1 (1)"</f>
        <v>1 (1)</v>
      </c>
      <c r="D1719" s="2" t="s">
        <v>5738</v>
      </c>
      <c r="E1719" s="5" t="s">
        <v>5739</v>
      </c>
      <c r="F1719" s="3" t="s">
        <v>5740</v>
      </c>
      <c r="G1719" s="3" t="s">
        <v>5741</v>
      </c>
      <c r="H1719" s="2" t="str">
        <f>"2013"</f>
        <v>2013</v>
      </c>
      <c r="I1719" t="s">
        <v>14</v>
      </c>
      <c r="J1719" t="s">
        <v>15</v>
      </c>
    </row>
    <row r="1720" spans="1:10">
      <c r="A1720" s="2" t="str">
        <f>"1717"</f>
        <v>1717</v>
      </c>
      <c r="B1720" s="2" t="s">
        <v>9</v>
      </c>
      <c r="C1720" s="2" t="str">
        <f>"1 (1)"</f>
        <v>1 (1)</v>
      </c>
      <c r="D1720" s="2" t="s">
        <v>5742</v>
      </c>
      <c r="E1720" s="5" t="s">
        <v>5743</v>
      </c>
      <c r="F1720" s="3" t="s">
        <v>5744</v>
      </c>
      <c r="G1720" s="3" t="s">
        <v>5745</v>
      </c>
      <c r="H1720" s="2" t="str">
        <f>"2013"</f>
        <v>2013</v>
      </c>
      <c r="I1720" t="s">
        <v>14</v>
      </c>
      <c r="J1720" t="s">
        <v>15</v>
      </c>
    </row>
    <row r="1721" spans="1:10">
      <c r="A1721" s="2" t="str">
        <f>"1718"</f>
        <v>1718</v>
      </c>
      <c r="B1721" s="2" t="s">
        <v>9</v>
      </c>
      <c r="C1721" s="2" t="str">
        <f>"1 (1)"</f>
        <v>1 (1)</v>
      </c>
      <c r="D1721" s="2" t="s">
        <v>5746</v>
      </c>
      <c r="E1721" s="5" t="s">
        <v>5747</v>
      </c>
      <c r="F1721" s="3" t="s">
        <v>5748</v>
      </c>
      <c r="G1721" s="3" t="s">
        <v>5745</v>
      </c>
      <c r="H1721" s="2" t="str">
        <f>"2013"</f>
        <v>2013</v>
      </c>
      <c r="I1721" t="s">
        <v>14</v>
      </c>
      <c r="J1721" t="s">
        <v>15</v>
      </c>
    </row>
    <row r="1722" spans="1:10">
      <c r="A1722" s="2" t="str">
        <f>"1719"</f>
        <v>1719</v>
      </c>
      <c r="B1722" s="2" t="s">
        <v>9</v>
      </c>
      <c r="C1722" s="2" t="str">
        <f>"1 (1)"</f>
        <v>1 (1)</v>
      </c>
      <c r="D1722" s="2" t="s">
        <v>5749</v>
      </c>
      <c r="E1722" s="5" t="s">
        <v>5750</v>
      </c>
      <c r="F1722" s="3" t="s">
        <v>5751</v>
      </c>
      <c r="G1722" s="3" t="s">
        <v>5752</v>
      </c>
      <c r="H1722" s="2" t="str">
        <f>"2013"</f>
        <v>2013</v>
      </c>
      <c r="I1722" t="s">
        <v>14</v>
      </c>
      <c r="J1722" t="s">
        <v>15</v>
      </c>
    </row>
    <row r="1723" spans="1:10">
      <c r="A1723" s="2" t="str">
        <f>"1720"</f>
        <v>1720</v>
      </c>
      <c r="B1723" s="2" t="s">
        <v>9</v>
      </c>
      <c r="C1723" s="2" t="str">
        <f>"1 (1)"</f>
        <v>1 (1)</v>
      </c>
      <c r="D1723" s="2" t="s">
        <v>5753</v>
      </c>
      <c r="E1723" s="5" t="s">
        <v>5754</v>
      </c>
      <c r="F1723" s="3" t="s">
        <v>5755</v>
      </c>
      <c r="G1723" s="3" t="s">
        <v>5756</v>
      </c>
      <c r="H1723" s="2" t="str">
        <f>"2012"</f>
        <v>2012</v>
      </c>
      <c r="I1723" t="s">
        <v>14</v>
      </c>
      <c r="J1723" t="s">
        <v>15</v>
      </c>
    </row>
    <row r="1724" spans="1:10">
      <c r="A1724" s="2" t="str">
        <f>"1721"</f>
        <v>1721</v>
      </c>
      <c r="B1724" s="2" t="s">
        <v>9</v>
      </c>
      <c r="C1724" s="2" t="str">
        <f>"1 (1)"</f>
        <v>1 (1)</v>
      </c>
      <c r="D1724" s="2" t="s">
        <v>5757</v>
      </c>
      <c r="E1724" s="5" t="s">
        <v>5758</v>
      </c>
      <c r="F1724" s="3" t="s">
        <v>5759</v>
      </c>
      <c r="G1724" s="3" t="s">
        <v>2041</v>
      </c>
      <c r="H1724" s="2" t="str">
        <f>"2012"</f>
        <v>2012</v>
      </c>
      <c r="I1724" t="s">
        <v>14</v>
      </c>
      <c r="J1724" t="s">
        <v>15</v>
      </c>
    </row>
    <row r="1725" spans="1:10">
      <c r="A1725" s="2" t="str">
        <f>"1722"</f>
        <v>1722</v>
      </c>
      <c r="B1725" s="2" t="s">
        <v>9</v>
      </c>
      <c r="C1725" s="2" t="str">
        <f>"1 (1)"</f>
        <v>1 (1)</v>
      </c>
      <c r="D1725" s="2" t="s">
        <v>5760</v>
      </c>
      <c r="E1725" s="5" t="s">
        <v>5761</v>
      </c>
      <c r="F1725" s="3" t="s">
        <v>5762</v>
      </c>
      <c r="G1725" s="3" t="s">
        <v>5763</v>
      </c>
      <c r="H1725" s="2" t="str">
        <f>"2012"</f>
        <v>2012</v>
      </c>
      <c r="I1725" t="s">
        <v>14</v>
      </c>
      <c r="J1725" t="s">
        <v>15</v>
      </c>
    </row>
    <row r="1726" spans="1:10">
      <c r="A1726" s="2" t="str">
        <f>"1723"</f>
        <v>1723</v>
      </c>
      <c r="B1726" s="2" t="s">
        <v>9</v>
      </c>
      <c r="C1726" s="2" t="str">
        <f>"1 (1)"</f>
        <v>1 (1)</v>
      </c>
      <c r="D1726" s="2" t="s">
        <v>5764</v>
      </c>
      <c r="E1726" s="5" t="s">
        <v>5765</v>
      </c>
      <c r="F1726" s="3" t="s">
        <v>5766</v>
      </c>
      <c r="G1726" s="3" t="s">
        <v>5767</v>
      </c>
      <c r="H1726" s="2" t="str">
        <f>"2006"</f>
        <v>2006</v>
      </c>
      <c r="I1726" t="s">
        <v>14</v>
      </c>
      <c r="J1726" t="s">
        <v>15</v>
      </c>
    </row>
    <row r="1727" spans="1:10">
      <c r="A1727" s="2" t="str">
        <f>"1724"</f>
        <v>1724</v>
      </c>
      <c r="B1727" s="2" t="s">
        <v>9</v>
      </c>
      <c r="C1727" s="2" t="str">
        <f>"1 (1)"</f>
        <v>1 (1)</v>
      </c>
      <c r="D1727" s="2" t="s">
        <v>5768</v>
      </c>
      <c r="E1727" s="5" t="s">
        <v>5769</v>
      </c>
      <c r="F1727" s="3" t="s">
        <v>5770</v>
      </c>
      <c r="G1727" s="3" t="s">
        <v>5771</v>
      </c>
      <c r="H1727" s="2" t="str">
        <f>"2012"</f>
        <v>2012</v>
      </c>
      <c r="I1727" t="s">
        <v>14</v>
      </c>
      <c r="J1727" t="s">
        <v>15</v>
      </c>
    </row>
    <row r="1728" spans="1:10">
      <c r="A1728" s="2" t="str">
        <f>"1725"</f>
        <v>1725</v>
      </c>
      <c r="B1728" s="2" t="s">
        <v>9</v>
      </c>
      <c r="C1728" s="2" t="str">
        <f>"1 (1)"</f>
        <v>1 (1)</v>
      </c>
      <c r="D1728" s="2" t="s">
        <v>5772</v>
      </c>
      <c r="E1728" s="5" t="s">
        <v>5773</v>
      </c>
      <c r="F1728" s="3" t="s">
        <v>5774</v>
      </c>
      <c r="G1728" s="3" t="s">
        <v>2835</v>
      </c>
      <c r="H1728" s="2" t="str">
        <f>"2013"</f>
        <v>2013</v>
      </c>
      <c r="I1728" t="s">
        <v>14</v>
      </c>
      <c r="J1728" t="s">
        <v>15</v>
      </c>
    </row>
    <row r="1729" spans="1:10">
      <c r="A1729" s="2" t="str">
        <f>"1726"</f>
        <v>1726</v>
      </c>
      <c r="B1729" s="2" t="s">
        <v>9</v>
      </c>
      <c r="C1729" s="2" t="str">
        <f>"1 (1)"</f>
        <v>1 (1)</v>
      </c>
      <c r="D1729" s="2" t="s">
        <v>5775</v>
      </c>
      <c r="E1729" s="5" t="s">
        <v>5776</v>
      </c>
      <c r="F1729" s="3" t="s">
        <v>5777</v>
      </c>
      <c r="G1729" s="3" t="s">
        <v>4343</v>
      </c>
      <c r="H1729" s="2" t="str">
        <f>"2013"</f>
        <v>2013</v>
      </c>
      <c r="I1729" t="s">
        <v>14</v>
      </c>
      <c r="J1729" t="s">
        <v>15</v>
      </c>
    </row>
    <row r="1730" spans="1:10">
      <c r="A1730" s="2" t="str">
        <f>"1727"</f>
        <v>1727</v>
      </c>
      <c r="B1730" s="2" t="s">
        <v>9</v>
      </c>
      <c r="C1730" s="2" t="str">
        <f>"1 (1)"</f>
        <v>1 (1)</v>
      </c>
      <c r="D1730" s="2" t="s">
        <v>5778</v>
      </c>
      <c r="E1730" s="5" t="s">
        <v>5779</v>
      </c>
      <c r="F1730" s="3" t="s">
        <v>5780</v>
      </c>
      <c r="G1730" s="3" t="s">
        <v>5781</v>
      </c>
      <c r="H1730" s="2" t="str">
        <f>"2011"</f>
        <v>2011</v>
      </c>
      <c r="I1730" t="s">
        <v>14</v>
      </c>
      <c r="J1730" t="s">
        <v>15</v>
      </c>
    </row>
    <row r="1731" spans="1:10">
      <c r="A1731" s="2" t="str">
        <f>"1728"</f>
        <v>1728</v>
      </c>
      <c r="B1731" s="2" t="s">
        <v>9</v>
      </c>
      <c r="C1731" s="2" t="str">
        <f>"1 (1)"</f>
        <v>1 (1)</v>
      </c>
      <c r="D1731" s="2" t="s">
        <v>5782</v>
      </c>
      <c r="E1731" s="5" t="s">
        <v>5783</v>
      </c>
      <c r="F1731" s="3" t="s">
        <v>5784</v>
      </c>
      <c r="G1731" s="3" t="s">
        <v>5785</v>
      </c>
      <c r="H1731" s="2" t="str">
        <f>"2012"</f>
        <v>2012</v>
      </c>
      <c r="I1731" t="s">
        <v>14</v>
      </c>
      <c r="J1731" t="s">
        <v>15</v>
      </c>
    </row>
    <row r="1732" spans="1:10">
      <c r="A1732" s="2" t="str">
        <f>"1729"</f>
        <v>1729</v>
      </c>
      <c r="B1732" s="2" t="s">
        <v>9</v>
      </c>
      <c r="C1732" s="2" t="str">
        <f>"1 (1)"</f>
        <v>1 (1)</v>
      </c>
      <c r="D1732" s="2" t="s">
        <v>5786</v>
      </c>
      <c r="E1732" s="5" t="s">
        <v>5787</v>
      </c>
      <c r="F1732" s="3" t="s">
        <v>5788</v>
      </c>
      <c r="G1732" s="3" t="s">
        <v>5789</v>
      </c>
      <c r="H1732" s="2" t="str">
        <f>"2013"</f>
        <v>2013</v>
      </c>
      <c r="I1732" t="s">
        <v>14</v>
      </c>
      <c r="J1732" t="s">
        <v>15</v>
      </c>
    </row>
    <row r="1733" spans="1:10">
      <c r="A1733" s="2" t="str">
        <f>"1730"</f>
        <v>1730</v>
      </c>
      <c r="B1733" s="2" t="s">
        <v>9</v>
      </c>
      <c r="C1733" s="2" t="str">
        <f>"1 (1)"</f>
        <v>1 (1)</v>
      </c>
      <c r="D1733" s="2" t="s">
        <v>5790</v>
      </c>
      <c r="E1733" s="5" t="s">
        <v>5791</v>
      </c>
      <c r="F1733" s="3" t="s">
        <v>5792</v>
      </c>
      <c r="G1733" s="3" t="s">
        <v>443</v>
      </c>
      <c r="H1733" s="2" t="str">
        <f>"2013"</f>
        <v>2013</v>
      </c>
      <c r="I1733" t="s">
        <v>14</v>
      </c>
      <c r="J1733" t="s">
        <v>15</v>
      </c>
    </row>
    <row r="1734" spans="1:10">
      <c r="A1734" s="2" t="str">
        <f>"1731"</f>
        <v>1731</v>
      </c>
      <c r="B1734" s="2" t="s">
        <v>9</v>
      </c>
      <c r="C1734" s="2" t="str">
        <f>"1 (1)"</f>
        <v>1 (1)</v>
      </c>
      <c r="D1734" s="2" t="s">
        <v>5793</v>
      </c>
      <c r="E1734" s="5" t="s">
        <v>5794</v>
      </c>
      <c r="F1734" s="3" t="s">
        <v>5795</v>
      </c>
      <c r="G1734" s="3" t="s">
        <v>5796</v>
      </c>
      <c r="H1734" s="2" t="str">
        <f>"2004"</f>
        <v>2004</v>
      </c>
      <c r="I1734" t="s">
        <v>14</v>
      </c>
      <c r="J1734" t="s">
        <v>15</v>
      </c>
    </row>
    <row r="1735" spans="1:10">
      <c r="A1735" s="2" t="str">
        <f>"1732"</f>
        <v>1732</v>
      </c>
      <c r="B1735" s="2" t="s">
        <v>9</v>
      </c>
      <c r="C1735" s="2" t="str">
        <f>"1 (1)"</f>
        <v>1 (1)</v>
      </c>
      <c r="D1735" s="2" t="s">
        <v>5797</v>
      </c>
      <c r="E1735" s="5" t="s">
        <v>5798</v>
      </c>
      <c r="F1735" s="3" t="s">
        <v>5799</v>
      </c>
      <c r="G1735" s="3" t="s">
        <v>5800</v>
      </c>
      <c r="H1735" s="2" t="str">
        <f>"2013"</f>
        <v>2013</v>
      </c>
      <c r="I1735" t="s">
        <v>14</v>
      </c>
      <c r="J1735" t="s">
        <v>15</v>
      </c>
    </row>
    <row r="1736" spans="1:10">
      <c r="A1736" s="2" t="str">
        <f>"1733"</f>
        <v>1733</v>
      </c>
      <c r="B1736" s="2" t="s">
        <v>9</v>
      </c>
      <c r="C1736" s="2" t="str">
        <f>"1 (1)"</f>
        <v>1 (1)</v>
      </c>
      <c r="D1736" s="2" t="s">
        <v>5801</v>
      </c>
      <c r="E1736" s="5" t="s">
        <v>5802</v>
      </c>
      <c r="F1736" s="3" t="s">
        <v>5803</v>
      </c>
      <c r="G1736" s="3" t="s">
        <v>5800</v>
      </c>
      <c r="H1736" s="2" t="str">
        <f>"2012"</f>
        <v>2012</v>
      </c>
      <c r="I1736" t="s">
        <v>14</v>
      </c>
      <c r="J1736" t="s">
        <v>15</v>
      </c>
    </row>
    <row r="1737" spans="1:10">
      <c r="A1737" s="2" t="str">
        <f>"1734"</f>
        <v>1734</v>
      </c>
      <c r="B1737" s="2" t="s">
        <v>9</v>
      </c>
      <c r="C1737" s="2" t="str">
        <f>"1 (1)"</f>
        <v>1 (1)</v>
      </c>
      <c r="D1737" s="2" t="s">
        <v>5804</v>
      </c>
      <c r="E1737" s="5" t="s">
        <v>5805</v>
      </c>
      <c r="F1737" s="3" t="s">
        <v>5806</v>
      </c>
      <c r="G1737" s="3" t="s">
        <v>2712</v>
      </c>
      <c r="H1737" s="2" t="str">
        <f>"2013"</f>
        <v>2013</v>
      </c>
      <c r="I1737" t="s">
        <v>14</v>
      </c>
      <c r="J1737" t="s">
        <v>15</v>
      </c>
    </row>
    <row r="1738" spans="1:10">
      <c r="A1738" s="2" t="str">
        <f>"1735"</f>
        <v>1735</v>
      </c>
      <c r="B1738" s="2" t="s">
        <v>9</v>
      </c>
      <c r="C1738" s="2" t="str">
        <f>"1 (1)"</f>
        <v>1 (1)</v>
      </c>
      <c r="D1738" s="2" t="s">
        <v>5807</v>
      </c>
      <c r="E1738" s="5" t="str">
        <f>"18번째 소송 : 대한민국 법원에 대한 어느 변호사의 외로운 외침!"</f>
        <v>18번째 소송 : 대한민국 법원에 대한 어느 변호사의 외로운 외침!</v>
      </c>
      <c r="F1738" s="3" t="s">
        <v>5808</v>
      </c>
      <c r="G1738" s="3" t="s">
        <v>5809</v>
      </c>
      <c r="H1738" s="2" t="str">
        <f>"2013"</f>
        <v>2013</v>
      </c>
      <c r="I1738" t="s">
        <v>14</v>
      </c>
      <c r="J1738" t="s">
        <v>15</v>
      </c>
    </row>
    <row r="1739" spans="1:10">
      <c r="A1739" s="2" t="str">
        <f>"1736"</f>
        <v>1736</v>
      </c>
      <c r="B1739" s="2" t="s">
        <v>9</v>
      </c>
      <c r="C1739" s="2" t="str">
        <f>"1 (1)"</f>
        <v>1 (1)</v>
      </c>
      <c r="D1739" s="2" t="s">
        <v>5810</v>
      </c>
      <c r="E1739" s="5" t="str">
        <f>"7번 방의 선물"</f>
        <v>7번 방의 선물</v>
      </c>
      <c r="F1739" s="3" t="s">
        <v>5811</v>
      </c>
      <c r="G1739" s="3" t="s">
        <v>5812</v>
      </c>
      <c r="H1739" s="2" t="str">
        <f>"2013"</f>
        <v>2013</v>
      </c>
      <c r="I1739" t="s">
        <v>14</v>
      </c>
      <c r="J1739" t="s">
        <v>15</v>
      </c>
    </row>
    <row r="1740" spans="1:10">
      <c r="A1740" s="2" t="str">
        <f>"1737"</f>
        <v>1737</v>
      </c>
      <c r="B1740" s="2" t="s">
        <v>9</v>
      </c>
      <c r="C1740" s="2" t="str">
        <f>"1 (1)"</f>
        <v>1 (1)</v>
      </c>
      <c r="D1740" s="2" t="s">
        <v>5813</v>
      </c>
      <c r="E1740" s="5" t="str">
        <f>"7인의 집행관 : 김보영 장편소설"</f>
        <v>7인의 집행관 : 김보영 장편소설</v>
      </c>
      <c r="F1740" s="3" t="s">
        <v>5814</v>
      </c>
      <c r="G1740" s="3" t="s">
        <v>5815</v>
      </c>
      <c r="H1740" s="2" t="str">
        <f>"2013"</f>
        <v>2013</v>
      </c>
      <c r="I1740" t="s">
        <v>14</v>
      </c>
      <c r="J1740" t="s">
        <v>15</v>
      </c>
    </row>
    <row r="1741" spans="1:10">
      <c r="A1741" s="2" t="str">
        <f>"1738"</f>
        <v>1738</v>
      </c>
      <c r="B1741" s="2" t="s">
        <v>9</v>
      </c>
      <c r="C1741" s="2" t="str">
        <f>"1 (1)"</f>
        <v>1 (1)</v>
      </c>
      <c r="D1741" s="2" t="s">
        <v>5816</v>
      </c>
      <c r="E1741" s="5" t="s">
        <v>5817</v>
      </c>
      <c r="F1741" s="3" t="s">
        <v>5818</v>
      </c>
      <c r="G1741" s="3" t="s">
        <v>5819</v>
      </c>
      <c r="H1741" s="2" t="str">
        <f>"2013"</f>
        <v>2013</v>
      </c>
      <c r="I1741" t="s">
        <v>14</v>
      </c>
      <c r="J1741" t="s">
        <v>15</v>
      </c>
    </row>
    <row r="1742" spans="1:10">
      <c r="A1742" s="2" t="str">
        <f>"1739"</f>
        <v>1739</v>
      </c>
      <c r="B1742" s="2" t="s">
        <v>9</v>
      </c>
      <c r="C1742" s="2" t="str">
        <f>"1 (1)"</f>
        <v>1 (1)</v>
      </c>
      <c r="D1742" s="2" t="s">
        <v>5820</v>
      </c>
      <c r="E1742" s="5" t="s">
        <v>5821</v>
      </c>
      <c r="F1742" s="3" t="s">
        <v>5822</v>
      </c>
      <c r="G1742" s="3" t="s">
        <v>5823</v>
      </c>
      <c r="H1742" s="2" t="str">
        <f>"2013"</f>
        <v>2013</v>
      </c>
      <c r="I1742" t="s">
        <v>14</v>
      </c>
      <c r="J1742" t="s">
        <v>15</v>
      </c>
    </row>
    <row r="1743" spans="1:10">
      <c r="A1743" s="2" t="str">
        <f>"1740"</f>
        <v>1740</v>
      </c>
      <c r="B1743" s="2" t="s">
        <v>9</v>
      </c>
      <c r="C1743" s="2" t="str">
        <f>"1 (1)"</f>
        <v>1 (1)</v>
      </c>
      <c r="D1743" s="2" t="s">
        <v>5824</v>
      </c>
      <c r="E1743" s="5" t="s">
        <v>5825</v>
      </c>
      <c r="F1743" s="3" t="s">
        <v>5826</v>
      </c>
      <c r="G1743" s="3" t="s">
        <v>5827</v>
      </c>
      <c r="H1743" s="2" t="str">
        <f>"2010"</f>
        <v>2010</v>
      </c>
      <c r="I1743" t="s">
        <v>14</v>
      </c>
      <c r="J1743" t="s">
        <v>15</v>
      </c>
    </row>
    <row r="1744" spans="1:10">
      <c r="A1744" s="2" t="str">
        <f>"1741"</f>
        <v>1741</v>
      </c>
      <c r="B1744" s="2" t="s">
        <v>9</v>
      </c>
      <c r="C1744" s="2" t="str">
        <f>"1 (1)"</f>
        <v>1 (1)</v>
      </c>
      <c r="D1744" s="2" t="s">
        <v>5828</v>
      </c>
      <c r="E1744" s="5" t="s">
        <v>5829</v>
      </c>
      <c r="F1744" s="3" t="s">
        <v>5830</v>
      </c>
      <c r="G1744" s="3" t="s">
        <v>5831</v>
      </c>
      <c r="H1744" s="2" t="str">
        <f>"2013"</f>
        <v>2013</v>
      </c>
      <c r="I1744" t="s">
        <v>14</v>
      </c>
      <c r="J1744" t="s">
        <v>15</v>
      </c>
    </row>
    <row r="1745" spans="1:10">
      <c r="A1745" s="2" t="str">
        <f>"1742"</f>
        <v>1742</v>
      </c>
      <c r="B1745" s="2" t="s">
        <v>9</v>
      </c>
      <c r="C1745" s="2" t="str">
        <f>"1 (1)"</f>
        <v>1 (1)</v>
      </c>
      <c r="D1745" s="2" t="s">
        <v>5832</v>
      </c>
      <c r="E1745" s="5" t="s">
        <v>5833</v>
      </c>
      <c r="F1745" s="3" t="s">
        <v>5834</v>
      </c>
      <c r="G1745" s="3" t="s">
        <v>5835</v>
      </c>
      <c r="H1745" s="2" t="str">
        <f>"2012"</f>
        <v>2012</v>
      </c>
      <c r="I1745" t="s">
        <v>14</v>
      </c>
      <c r="J1745" t="s">
        <v>15</v>
      </c>
    </row>
    <row r="1746" spans="1:10">
      <c r="A1746" s="2" t="str">
        <f>"1743"</f>
        <v>1743</v>
      </c>
      <c r="B1746" s="2" t="s">
        <v>9</v>
      </c>
      <c r="C1746" s="2" t="str">
        <f>"1 (1)"</f>
        <v>1 (1)</v>
      </c>
      <c r="D1746" s="2" t="s">
        <v>5836</v>
      </c>
      <c r="E1746" s="5" t="s">
        <v>5837</v>
      </c>
      <c r="F1746" s="3" t="s">
        <v>5838</v>
      </c>
      <c r="G1746" s="3" t="s">
        <v>4125</v>
      </c>
      <c r="H1746" s="2" t="str">
        <f>"2013"</f>
        <v>2013</v>
      </c>
      <c r="I1746" t="s">
        <v>14</v>
      </c>
      <c r="J1746" t="s">
        <v>15</v>
      </c>
    </row>
    <row r="1747" spans="1:10">
      <c r="A1747" s="2" t="str">
        <f>"1744"</f>
        <v>1744</v>
      </c>
      <c r="B1747" s="2" t="s">
        <v>9</v>
      </c>
      <c r="C1747" s="2" t="str">
        <f>"1 (1)"</f>
        <v>1 (1)</v>
      </c>
      <c r="D1747" s="2" t="s">
        <v>5839</v>
      </c>
      <c r="E1747" s="5" t="s">
        <v>5840</v>
      </c>
      <c r="F1747" s="3" t="s">
        <v>5841</v>
      </c>
      <c r="G1747" s="3" t="s">
        <v>2301</v>
      </c>
      <c r="H1747" s="2" t="str">
        <f>"2013"</f>
        <v>2013</v>
      </c>
      <c r="I1747" t="s">
        <v>14</v>
      </c>
      <c r="J1747" t="s">
        <v>15</v>
      </c>
    </row>
    <row r="1748" spans="1:10">
      <c r="A1748" s="2" t="str">
        <f>"1745"</f>
        <v>1745</v>
      </c>
      <c r="B1748" s="2" t="s">
        <v>9</v>
      </c>
      <c r="C1748" s="2" t="str">
        <f>"1 (1)"</f>
        <v>1 (1)</v>
      </c>
      <c r="D1748" s="2" t="s">
        <v>5842</v>
      </c>
      <c r="E1748" s="5" t="s">
        <v>5843</v>
      </c>
      <c r="F1748" s="3" t="s">
        <v>5844</v>
      </c>
      <c r="G1748" s="3" t="s">
        <v>5845</v>
      </c>
      <c r="H1748" s="2" t="str">
        <f>"2013"</f>
        <v>2013</v>
      </c>
      <c r="I1748" t="s">
        <v>14</v>
      </c>
      <c r="J1748" t="s">
        <v>15</v>
      </c>
    </row>
    <row r="1749" spans="1:10">
      <c r="A1749" s="2" t="str">
        <f>"1746"</f>
        <v>1746</v>
      </c>
      <c r="B1749" s="2" t="s">
        <v>9</v>
      </c>
      <c r="C1749" s="2" t="str">
        <f>"1 (1)"</f>
        <v>1 (1)</v>
      </c>
      <c r="D1749" s="2" t="s">
        <v>5846</v>
      </c>
      <c r="E1749" s="5" t="s">
        <v>5847</v>
      </c>
      <c r="F1749" s="3" t="s">
        <v>5848</v>
      </c>
      <c r="G1749" s="3" t="s">
        <v>936</v>
      </c>
      <c r="H1749" s="2" t="str">
        <f>"2013"</f>
        <v>2013</v>
      </c>
      <c r="I1749" t="s">
        <v>14</v>
      </c>
      <c r="J1749" t="s">
        <v>15</v>
      </c>
    </row>
    <row r="1750" spans="1:10">
      <c r="A1750" s="2" t="str">
        <f>"1747"</f>
        <v>1747</v>
      </c>
      <c r="B1750" s="2" t="s">
        <v>9</v>
      </c>
      <c r="C1750" s="2" t="str">
        <f>"1 (1)"</f>
        <v>1 (1)</v>
      </c>
      <c r="D1750" s="2" t="s">
        <v>5849</v>
      </c>
      <c r="E1750" s="5" t="s">
        <v>5850</v>
      </c>
      <c r="F1750" s="3" t="s">
        <v>5851</v>
      </c>
      <c r="G1750" s="3" t="s">
        <v>5852</v>
      </c>
      <c r="H1750" s="2" t="str">
        <f>"2012"</f>
        <v>2012</v>
      </c>
      <c r="I1750" t="s">
        <v>14</v>
      </c>
      <c r="J1750" t="s">
        <v>15</v>
      </c>
    </row>
    <row r="1751" spans="1:10">
      <c r="A1751" s="2" t="str">
        <f>"1748"</f>
        <v>1748</v>
      </c>
      <c r="B1751" s="2" t="s">
        <v>9</v>
      </c>
      <c r="C1751" s="2" t="str">
        <f>"1 (1)"</f>
        <v>1 (1)</v>
      </c>
      <c r="D1751" s="2" t="s">
        <v>5853</v>
      </c>
      <c r="E1751" s="5" t="s">
        <v>5854</v>
      </c>
      <c r="F1751" s="3" t="s">
        <v>5855</v>
      </c>
      <c r="G1751" s="3" t="s">
        <v>936</v>
      </c>
      <c r="H1751" s="2" t="str">
        <f>"2013"</f>
        <v>2013</v>
      </c>
      <c r="I1751" t="s">
        <v>14</v>
      </c>
      <c r="J1751" t="s">
        <v>15</v>
      </c>
    </row>
    <row r="1752" spans="1:10">
      <c r="A1752" s="2" t="str">
        <f>"1749"</f>
        <v>1749</v>
      </c>
      <c r="B1752" s="2" t="s">
        <v>9</v>
      </c>
      <c r="C1752" s="2" t="str">
        <f>"1 (1)"</f>
        <v>1 (1)</v>
      </c>
      <c r="D1752" s="2" t="s">
        <v>5856</v>
      </c>
      <c r="E1752" s="5" t="s">
        <v>5857</v>
      </c>
      <c r="F1752" s="3" t="s">
        <v>5858</v>
      </c>
      <c r="G1752" s="3" t="s">
        <v>4690</v>
      </c>
      <c r="H1752" s="2" t="str">
        <f>"2013"</f>
        <v>2013</v>
      </c>
      <c r="I1752" t="s">
        <v>14</v>
      </c>
      <c r="J1752" t="s">
        <v>15</v>
      </c>
    </row>
    <row r="1753" spans="1:10">
      <c r="A1753" s="2" t="str">
        <f>"1750"</f>
        <v>1750</v>
      </c>
      <c r="B1753" s="2" t="s">
        <v>9</v>
      </c>
      <c r="C1753" s="2" t="str">
        <f>"1 (1)"</f>
        <v>1 (1)</v>
      </c>
      <c r="D1753" s="2" t="s">
        <v>5859</v>
      </c>
      <c r="E1753" s="5" t="s">
        <v>5860</v>
      </c>
      <c r="F1753" s="3" t="s">
        <v>5861</v>
      </c>
      <c r="G1753" s="3" t="s">
        <v>4792</v>
      </c>
      <c r="H1753" s="2" t="str">
        <f>"2013"</f>
        <v>2013</v>
      </c>
      <c r="I1753" t="s">
        <v>14</v>
      </c>
      <c r="J1753" t="s">
        <v>15</v>
      </c>
    </row>
    <row r="1754" spans="1:10">
      <c r="A1754" s="2" t="str">
        <f>"1751"</f>
        <v>1751</v>
      </c>
      <c r="B1754" s="2" t="s">
        <v>9</v>
      </c>
      <c r="C1754" s="2" t="str">
        <f>"1 (1)"</f>
        <v>1 (1)</v>
      </c>
      <c r="D1754" s="2" t="s">
        <v>5862</v>
      </c>
      <c r="E1754" s="5" t="s">
        <v>5863</v>
      </c>
      <c r="F1754" s="3" t="s">
        <v>5864</v>
      </c>
      <c r="G1754" s="3" t="s">
        <v>5865</v>
      </c>
      <c r="H1754" s="2" t="str">
        <f>"2013"</f>
        <v>2013</v>
      </c>
      <c r="I1754" t="s">
        <v>14</v>
      </c>
      <c r="J1754" t="s">
        <v>15</v>
      </c>
    </row>
    <row r="1755" spans="1:10">
      <c r="A1755" s="2" t="str">
        <f>"1752"</f>
        <v>1752</v>
      </c>
      <c r="B1755" s="2" t="s">
        <v>9</v>
      </c>
      <c r="C1755" s="2" t="str">
        <f>"1 (1)"</f>
        <v>1 (1)</v>
      </c>
      <c r="D1755" s="2" t="s">
        <v>5866</v>
      </c>
      <c r="E1755" s="5" t="s">
        <v>5867</v>
      </c>
      <c r="F1755" s="3" t="s">
        <v>5868</v>
      </c>
      <c r="G1755" s="3" t="s">
        <v>936</v>
      </c>
      <c r="H1755" s="2" t="str">
        <f>"2013"</f>
        <v>2013</v>
      </c>
      <c r="I1755" t="s">
        <v>14</v>
      </c>
      <c r="J1755" t="s">
        <v>15</v>
      </c>
    </row>
    <row r="1756" spans="1:10">
      <c r="A1756" s="2" t="str">
        <f>"1753"</f>
        <v>1753</v>
      </c>
      <c r="B1756" s="2" t="s">
        <v>9</v>
      </c>
      <c r="C1756" s="2" t="str">
        <f>"1 (1)"</f>
        <v>1 (1)</v>
      </c>
      <c r="D1756" s="2" t="s">
        <v>5869</v>
      </c>
      <c r="E1756" s="5" t="s">
        <v>5870</v>
      </c>
      <c r="F1756" s="3" t="s">
        <v>5871</v>
      </c>
      <c r="G1756" s="3" t="s">
        <v>4369</v>
      </c>
      <c r="H1756" s="2" t="str">
        <f>"2013"</f>
        <v>2013</v>
      </c>
      <c r="I1756" t="s">
        <v>14</v>
      </c>
      <c r="J1756" t="s">
        <v>15</v>
      </c>
    </row>
    <row r="1757" spans="1:10">
      <c r="A1757" s="2" t="str">
        <f>"1754"</f>
        <v>1754</v>
      </c>
      <c r="B1757" s="2" t="s">
        <v>9</v>
      </c>
      <c r="C1757" s="2" t="str">
        <f>"1 (1)"</f>
        <v>1 (1)</v>
      </c>
      <c r="D1757" s="2" t="s">
        <v>5872</v>
      </c>
      <c r="E1757" s="5" t="s">
        <v>5873</v>
      </c>
      <c r="F1757" s="3" t="s">
        <v>5874</v>
      </c>
      <c r="G1757" s="3" t="s">
        <v>5875</v>
      </c>
      <c r="H1757" s="2" t="str">
        <f>"2013"</f>
        <v>2013</v>
      </c>
      <c r="I1757" t="s">
        <v>14</v>
      </c>
      <c r="J1757" t="s">
        <v>15</v>
      </c>
    </row>
    <row r="1758" spans="1:10">
      <c r="A1758" s="2" t="str">
        <f>"1755"</f>
        <v>1755</v>
      </c>
      <c r="B1758" s="2" t="s">
        <v>9</v>
      </c>
      <c r="C1758" s="2" t="str">
        <f>"1 (1)"</f>
        <v>1 (1)</v>
      </c>
      <c r="D1758" s="2" t="s">
        <v>5876</v>
      </c>
      <c r="E1758" s="5" t="s">
        <v>5877</v>
      </c>
      <c r="F1758" s="3" t="s">
        <v>5878</v>
      </c>
      <c r="G1758" s="3" t="s">
        <v>2662</v>
      </c>
      <c r="H1758" s="2" t="str">
        <f>"2013"</f>
        <v>2013</v>
      </c>
      <c r="I1758" t="s">
        <v>14</v>
      </c>
      <c r="J1758" t="s">
        <v>15</v>
      </c>
    </row>
    <row r="1759" spans="1:10">
      <c r="A1759" s="2" t="str">
        <f>"1756"</f>
        <v>1756</v>
      </c>
      <c r="B1759" s="2" t="s">
        <v>9</v>
      </c>
      <c r="C1759" s="2" t="str">
        <f>"1 (1)"</f>
        <v>1 (1)</v>
      </c>
      <c r="D1759" s="2" t="s">
        <v>5879</v>
      </c>
      <c r="E1759" s="5" t="s">
        <v>5880</v>
      </c>
      <c r="F1759" s="3" t="s">
        <v>5881</v>
      </c>
      <c r="G1759" s="3" t="s">
        <v>5882</v>
      </c>
      <c r="H1759" s="2" t="str">
        <f>"2013"</f>
        <v>2013</v>
      </c>
      <c r="I1759" t="s">
        <v>14</v>
      </c>
      <c r="J1759" t="s">
        <v>15</v>
      </c>
    </row>
    <row r="1760" spans="1:10">
      <c r="A1760" s="2" t="str">
        <f>"1757"</f>
        <v>1757</v>
      </c>
      <c r="B1760" s="2" t="s">
        <v>9</v>
      </c>
      <c r="C1760" s="2" t="str">
        <f>"1 (1)"</f>
        <v>1 (1)</v>
      </c>
      <c r="D1760" s="2" t="s">
        <v>5883</v>
      </c>
      <c r="E1760" s="5" t="s">
        <v>5884</v>
      </c>
      <c r="F1760" s="3" t="s">
        <v>5885</v>
      </c>
      <c r="G1760" s="3" t="s">
        <v>2176</v>
      </c>
      <c r="H1760" s="2" t="str">
        <f>"2008"</f>
        <v>2008</v>
      </c>
      <c r="I1760" t="s">
        <v>14</v>
      </c>
      <c r="J1760" t="s">
        <v>15</v>
      </c>
    </row>
    <row r="1761" spans="1:10">
      <c r="A1761" s="2" t="str">
        <f>"1758"</f>
        <v>1758</v>
      </c>
      <c r="B1761" s="2" t="s">
        <v>9</v>
      </c>
      <c r="C1761" s="2" t="str">
        <f>"1 (1)"</f>
        <v>1 (1)</v>
      </c>
      <c r="D1761" s="2" t="s">
        <v>5886</v>
      </c>
      <c r="E1761" s="5" t="s">
        <v>5887</v>
      </c>
      <c r="F1761" s="3" t="s">
        <v>5888</v>
      </c>
      <c r="G1761" s="3" t="s">
        <v>1061</v>
      </c>
      <c r="H1761" s="2" t="str">
        <f>"2012"</f>
        <v>2012</v>
      </c>
      <c r="I1761" t="s">
        <v>14</v>
      </c>
      <c r="J1761" t="s">
        <v>15</v>
      </c>
    </row>
    <row r="1762" spans="1:10">
      <c r="A1762" s="2" t="str">
        <f>"1759"</f>
        <v>1759</v>
      </c>
      <c r="B1762" s="2" t="s">
        <v>9</v>
      </c>
      <c r="C1762" s="2" t="str">
        <f>"1 (1)"</f>
        <v>1 (1)</v>
      </c>
      <c r="D1762" s="2" t="s">
        <v>5889</v>
      </c>
      <c r="E1762" s="5" t="s">
        <v>5890</v>
      </c>
      <c r="F1762" s="3" t="s">
        <v>5891</v>
      </c>
      <c r="G1762" s="3" t="s">
        <v>5892</v>
      </c>
      <c r="H1762" s="2" t="str">
        <f>"2013"</f>
        <v>2013</v>
      </c>
      <c r="I1762" t="s">
        <v>14</v>
      </c>
      <c r="J1762" t="s">
        <v>15</v>
      </c>
    </row>
    <row r="1763" spans="1:10">
      <c r="A1763" s="2" t="str">
        <f>"1760"</f>
        <v>1760</v>
      </c>
      <c r="B1763" s="2" t="s">
        <v>9</v>
      </c>
      <c r="C1763" s="2" t="str">
        <f>"1 (1)"</f>
        <v>1 (1)</v>
      </c>
      <c r="D1763" s="2" t="s">
        <v>5893</v>
      </c>
      <c r="E1763" s="5" t="s">
        <v>5894</v>
      </c>
      <c r="F1763" s="3" t="s">
        <v>5895</v>
      </c>
      <c r="G1763" s="3" t="s">
        <v>5896</v>
      </c>
      <c r="H1763" s="2" t="str">
        <f>"2013"</f>
        <v>2013</v>
      </c>
      <c r="I1763" t="s">
        <v>14</v>
      </c>
      <c r="J1763" t="s">
        <v>15</v>
      </c>
    </row>
    <row r="1764" spans="1:10">
      <c r="A1764" s="2" t="str">
        <f>"1761"</f>
        <v>1761</v>
      </c>
      <c r="B1764" s="2" t="s">
        <v>9</v>
      </c>
      <c r="C1764" s="2" t="str">
        <f>"1 (1)"</f>
        <v>1 (1)</v>
      </c>
      <c r="D1764" s="2" t="s">
        <v>5897</v>
      </c>
      <c r="E1764" s="5" t="s">
        <v>5898</v>
      </c>
      <c r="F1764" s="3" t="s">
        <v>5895</v>
      </c>
      <c r="G1764" s="3" t="s">
        <v>5896</v>
      </c>
      <c r="H1764" s="2" t="str">
        <f>"2013"</f>
        <v>2013</v>
      </c>
      <c r="I1764" t="s">
        <v>14</v>
      </c>
      <c r="J1764" t="s">
        <v>15</v>
      </c>
    </row>
    <row r="1765" spans="1:10">
      <c r="A1765" s="2" t="str">
        <f>"1762"</f>
        <v>1762</v>
      </c>
      <c r="B1765" s="2" t="s">
        <v>9</v>
      </c>
      <c r="C1765" s="2" t="str">
        <f>"1 (1)"</f>
        <v>1 (1)</v>
      </c>
      <c r="D1765" s="2" t="s">
        <v>5899</v>
      </c>
      <c r="E1765" s="5" t="s">
        <v>5900</v>
      </c>
      <c r="F1765" s="3" t="s">
        <v>5901</v>
      </c>
      <c r="G1765" s="3" t="s">
        <v>3321</v>
      </c>
      <c r="H1765" s="2" t="str">
        <f>"2013"</f>
        <v>2013</v>
      </c>
      <c r="I1765" t="s">
        <v>14</v>
      </c>
      <c r="J1765" t="s">
        <v>15</v>
      </c>
    </row>
    <row r="1766" spans="1:10">
      <c r="A1766" s="2" t="str">
        <f>"1763"</f>
        <v>1763</v>
      </c>
      <c r="B1766" s="2" t="s">
        <v>9</v>
      </c>
      <c r="C1766" s="2" t="str">
        <f>"1 (1)"</f>
        <v>1 (1)</v>
      </c>
      <c r="D1766" s="2" t="s">
        <v>5902</v>
      </c>
      <c r="E1766" s="5" t="s">
        <v>4449</v>
      </c>
      <c r="F1766" s="3" t="s">
        <v>4450</v>
      </c>
      <c r="G1766" s="3" t="s">
        <v>4451</v>
      </c>
      <c r="H1766" s="2" t="str">
        <f>"2013"</f>
        <v>2013</v>
      </c>
      <c r="I1766" t="s">
        <v>14</v>
      </c>
      <c r="J1766" t="s">
        <v>15</v>
      </c>
    </row>
    <row r="1767" spans="1:10">
      <c r="A1767" s="2" t="str">
        <f>"1764"</f>
        <v>1764</v>
      </c>
      <c r="B1767" s="2" t="s">
        <v>9</v>
      </c>
      <c r="C1767" s="2" t="str">
        <f>"1 (1)"</f>
        <v>1 (1)</v>
      </c>
      <c r="D1767" s="2" t="s">
        <v>5903</v>
      </c>
      <c r="E1767" s="5" t="s">
        <v>5904</v>
      </c>
      <c r="F1767" s="3" t="s">
        <v>5905</v>
      </c>
      <c r="G1767" s="3" t="s">
        <v>4021</v>
      </c>
      <c r="H1767" s="2" t="str">
        <f>"2013"</f>
        <v>2013</v>
      </c>
      <c r="I1767" t="s">
        <v>14</v>
      </c>
      <c r="J1767" t="s">
        <v>15</v>
      </c>
    </row>
    <row r="1768" spans="1:10">
      <c r="A1768" s="2" t="str">
        <f>"1765"</f>
        <v>1765</v>
      </c>
      <c r="B1768" s="2" t="s">
        <v>9</v>
      </c>
      <c r="C1768" s="2" t="str">
        <f>"1 (1)"</f>
        <v>1 (1)</v>
      </c>
      <c r="D1768" s="2" t="s">
        <v>5906</v>
      </c>
      <c r="E1768" s="5" t="s">
        <v>5907</v>
      </c>
      <c r="F1768" s="3" t="s">
        <v>5908</v>
      </c>
      <c r="G1768" s="3" t="s">
        <v>5819</v>
      </c>
      <c r="H1768" s="2" t="str">
        <f>"2013"</f>
        <v>2013</v>
      </c>
      <c r="I1768" t="s">
        <v>14</v>
      </c>
      <c r="J1768" t="s">
        <v>15</v>
      </c>
    </row>
    <row r="1769" spans="1:10">
      <c r="A1769" s="2" t="str">
        <f>"1766"</f>
        <v>1766</v>
      </c>
      <c r="B1769" s="2" t="s">
        <v>9</v>
      </c>
      <c r="C1769" s="2" t="str">
        <f>"1 (1)"</f>
        <v>1 (1)</v>
      </c>
      <c r="D1769" s="2" t="s">
        <v>5909</v>
      </c>
      <c r="E1769" s="5" t="s">
        <v>5910</v>
      </c>
      <c r="F1769" s="3" t="s">
        <v>5911</v>
      </c>
      <c r="G1769" s="3" t="s">
        <v>936</v>
      </c>
      <c r="H1769" s="2" t="str">
        <f>"2013"</f>
        <v>2013</v>
      </c>
      <c r="I1769" t="s">
        <v>14</v>
      </c>
      <c r="J1769" t="s">
        <v>15</v>
      </c>
    </row>
    <row r="1770" spans="1:10">
      <c r="A1770" s="2" t="str">
        <f>"1767"</f>
        <v>1767</v>
      </c>
      <c r="B1770" s="2" t="s">
        <v>9</v>
      </c>
      <c r="C1770" s="2" t="str">
        <f>"1 (1)"</f>
        <v>1 (1)</v>
      </c>
      <c r="D1770" s="2" t="s">
        <v>5912</v>
      </c>
      <c r="E1770" s="5" t="s">
        <v>5913</v>
      </c>
      <c r="F1770" s="3" t="s">
        <v>5914</v>
      </c>
      <c r="G1770" s="3" t="s">
        <v>832</v>
      </c>
      <c r="H1770" s="2" t="str">
        <f>"2013"</f>
        <v>2013</v>
      </c>
      <c r="I1770" t="s">
        <v>14</v>
      </c>
      <c r="J1770" t="s">
        <v>15</v>
      </c>
    </row>
    <row r="1771" spans="1:10">
      <c r="A1771" s="2" t="str">
        <f>"1768"</f>
        <v>1768</v>
      </c>
      <c r="B1771" s="2" t="s">
        <v>9</v>
      </c>
      <c r="C1771" s="2" t="str">
        <f>"1 (1)"</f>
        <v>1 (1)</v>
      </c>
      <c r="D1771" s="2" t="s">
        <v>5915</v>
      </c>
      <c r="E1771" s="5" t="s">
        <v>5916</v>
      </c>
      <c r="F1771" s="3" t="s">
        <v>5917</v>
      </c>
      <c r="G1771" s="3" t="s">
        <v>5918</v>
      </c>
      <c r="H1771" s="2" t="str">
        <f>"2013"</f>
        <v>2013</v>
      </c>
      <c r="I1771" t="s">
        <v>14</v>
      </c>
      <c r="J1771" t="s">
        <v>15</v>
      </c>
    </row>
    <row r="1772" spans="1:10">
      <c r="A1772" s="2" t="str">
        <f>"1769"</f>
        <v>1769</v>
      </c>
      <c r="B1772" s="2" t="s">
        <v>9</v>
      </c>
      <c r="C1772" s="2" t="str">
        <f>"1 (1)"</f>
        <v>1 (1)</v>
      </c>
      <c r="D1772" s="2" t="s">
        <v>5919</v>
      </c>
      <c r="E1772" s="5" t="s">
        <v>5920</v>
      </c>
      <c r="F1772" s="3" t="s">
        <v>5921</v>
      </c>
      <c r="G1772" s="3" t="s">
        <v>2329</v>
      </c>
      <c r="H1772" s="2" t="str">
        <f>"2013"</f>
        <v>2013</v>
      </c>
      <c r="I1772" t="s">
        <v>14</v>
      </c>
      <c r="J1772" t="s">
        <v>15</v>
      </c>
    </row>
    <row r="1773" spans="1:10">
      <c r="A1773" s="2" t="str">
        <f>"1770"</f>
        <v>1770</v>
      </c>
      <c r="B1773" s="2" t="s">
        <v>9</v>
      </c>
      <c r="C1773" s="2" t="str">
        <f>"1 (1)"</f>
        <v>1 (1)</v>
      </c>
      <c r="D1773" s="2" t="s">
        <v>5922</v>
      </c>
      <c r="E1773" s="5" t="s">
        <v>5923</v>
      </c>
      <c r="F1773" s="3" t="s">
        <v>5924</v>
      </c>
      <c r="G1773" s="3" t="s">
        <v>3793</v>
      </c>
      <c r="H1773" s="2" t="str">
        <f>"2012"</f>
        <v>2012</v>
      </c>
      <c r="I1773" t="s">
        <v>14</v>
      </c>
      <c r="J1773" t="s">
        <v>15</v>
      </c>
    </row>
    <row r="1774" spans="1:10">
      <c r="A1774" s="2" t="str">
        <f>"1771"</f>
        <v>1771</v>
      </c>
      <c r="B1774" s="2" t="s">
        <v>9</v>
      </c>
      <c r="C1774" s="2" t="str">
        <f>"1 (1)"</f>
        <v>1 (1)</v>
      </c>
      <c r="D1774" s="2" t="s">
        <v>5925</v>
      </c>
      <c r="E1774" s="5" t="s">
        <v>5926</v>
      </c>
      <c r="F1774" s="3" t="s">
        <v>5927</v>
      </c>
      <c r="G1774" s="3" t="s">
        <v>5928</v>
      </c>
      <c r="H1774" s="2" t="str">
        <f>"2013"</f>
        <v>2013</v>
      </c>
      <c r="I1774" t="s">
        <v>14</v>
      </c>
      <c r="J1774" t="s">
        <v>15</v>
      </c>
    </row>
    <row r="1775" spans="1:10">
      <c r="A1775" s="2" t="str">
        <f>"1772"</f>
        <v>1772</v>
      </c>
      <c r="B1775" s="2" t="s">
        <v>9</v>
      </c>
      <c r="C1775" s="2" t="str">
        <f>"1 (1)"</f>
        <v>1 (1)</v>
      </c>
      <c r="D1775" s="2" t="s">
        <v>5929</v>
      </c>
      <c r="E1775" s="5" t="s">
        <v>5930</v>
      </c>
      <c r="F1775" s="3" t="s">
        <v>5931</v>
      </c>
      <c r="G1775" s="3" t="s">
        <v>4873</v>
      </c>
      <c r="H1775" s="2" t="str">
        <f>"2012"</f>
        <v>2012</v>
      </c>
      <c r="I1775" t="s">
        <v>14</v>
      </c>
      <c r="J1775" t="s">
        <v>15</v>
      </c>
    </row>
    <row r="1776" spans="1:10">
      <c r="A1776" s="2" t="str">
        <f>"1773"</f>
        <v>1773</v>
      </c>
      <c r="B1776" s="2" t="s">
        <v>9</v>
      </c>
      <c r="C1776" s="2" t="str">
        <f>"1 (1)"</f>
        <v>1 (1)</v>
      </c>
      <c r="D1776" s="2" t="s">
        <v>5932</v>
      </c>
      <c r="E1776" s="5" t="s">
        <v>5933</v>
      </c>
      <c r="F1776" s="3" t="s">
        <v>5934</v>
      </c>
      <c r="G1776" s="3" t="s">
        <v>2393</v>
      </c>
      <c r="H1776" s="2" t="str">
        <f>"2013"</f>
        <v>2013</v>
      </c>
      <c r="I1776" t="s">
        <v>14</v>
      </c>
      <c r="J1776" t="s">
        <v>15</v>
      </c>
    </row>
    <row r="1777" spans="1:10">
      <c r="A1777" s="2" t="str">
        <f>"1774"</f>
        <v>1774</v>
      </c>
      <c r="B1777" s="2" t="s">
        <v>9</v>
      </c>
      <c r="C1777" s="2" t="str">
        <f>"1 (1)"</f>
        <v>1 (1)</v>
      </c>
      <c r="D1777" s="2" t="s">
        <v>5935</v>
      </c>
      <c r="E1777" s="5" t="s">
        <v>5936</v>
      </c>
      <c r="F1777" s="3" t="s">
        <v>5937</v>
      </c>
      <c r="G1777" s="3" t="s">
        <v>5938</v>
      </c>
      <c r="H1777" s="2" t="str">
        <f>"2010"</f>
        <v>2010</v>
      </c>
      <c r="I1777" t="s">
        <v>14</v>
      </c>
      <c r="J1777" t="s">
        <v>15</v>
      </c>
    </row>
    <row r="1778" spans="1:10">
      <c r="A1778" s="2" t="str">
        <f>"1775"</f>
        <v>1775</v>
      </c>
      <c r="B1778" s="2" t="s">
        <v>9</v>
      </c>
      <c r="C1778" s="2" t="str">
        <f>"1 (1)"</f>
        <v>1 (1)</v>
      </c>
      <c r="D1778" s="2" t="s">
        <v>5939</v>
      </c>
      <c r="E1778" s="5" t="s">
        <v>5940</v>
      </c>
      <c r="F1778" s="3" t="s">
        <v>5937</v>
      </c>
      <c r="G1778" s="3" t="s">
        <v>5938</v>
      </c>
      <c r="H1778" s="2" t="str">
        <f>"2010"</f>
        <v>2010</v>
      </c>
      <c r="I1778" t="s">
        <v>14</v>
      </c>
      <c r="J1778" t="s">
        <v>15</v>
      </c>
    </row>
    <row r="1779" spans="1:10">
      <c r="A1779" s="2" t="str">
        <f>"1776"</f>
        <v>1776</v>
      </c>
      <c r="B1779" s="2" t="s">
        <v>9</v>
      </c>
      <c r="C1779" s="2" t="str">
        <f>"1 (1)"</f>
        <v>1 (1)</v>
      </c>
      <c r="D1779" s="2" t="s">
        <v>5941</v>
      </c>
      <c r="E1779" s="5" t="s">
        <v>5942</v>
      </c>
      <c r="F1779" s="3" t="s">
        <v>5937</v>
      </c>
      <c r="G1779" s="3" t="s">
        <v>5938</v>
      </c>
      <c r="H1779" s="2" t="str">
        <f>"2010"</f>
        <v>2010</v>
      </c>
      <c r="I1779" t="s">
        <v>14</v>
      </c>
      <c r="J1779" t="s">
        <v>15</v>
      </c>
    </row>
    <row r="1780" spans="1:10">
      <c r="A1780" s="2" t="str">
        <f>"1777"</f>
        <v>1777</v>
      </c>
      <c r="B1780" s="2" t="s">
        <v>9</v>
      </c>
      <c r="C1780" s="2" t="str">
        <f>"1 (1)"</f>
        <v>1 (1)</v>
      </c>
      <c r="D1780" s="2" t="s">
        <v>5943</v>
      </c>
      <c r="E1780" s="5" t="s">
        <v>5944</v>
      </c>
      <c r="F1780" s="3" t="s">
        <v>5945</v>
      </c>
      <c r="G1780" s="3" t="s">
        <v>5946</v>
      </c>
      <c r="H1780" s="2" t="str">
        <f>"2012"</f>
        <v>2012</v>
      </c>
      <c r="I1780" t="s">
        <v>14</v>
      </c>
      <c r="J1780" t="s">
        <v>15</v>
      </c>
    </row>
    <row r="1781" spans="1:10">
      <c r="A1781" s="2" t="str">
        <f>"1778"</f>
        <v>1778</v>
      </c>
      <c r="B1781" s="2" t="s">
        <v>9</v>
      </c>
      <c r="C1781" s="2" t="str">
        <f>"1 (1)"</f>
        <v>1 (1)</v>
      </c>
      <c r="D1781" s="2" t="s">
        <v>5947</v>
      </c>
      <c r="E1781" s="5" t="s">
        <v>5948</v>
      </c>
      <c r="F1781" s="3" t="s">
        <v>5949</v>
      </c>
      <c r="G1781" s="3" t="s">
        <v>4484</v>
      </c>
      <c r="H1781" s="2" t="str">
        <f>"2013"</f>
        <v>2013</v>
      </c>
      <c r="I1781" t="s">
        <v>14</v>
      </c>
      <c r="J1781" t="s">
        <v>15</v>
      </c>
    </row>
    <row r="1782" spans="1:10">
      <c r="A1782" s="2" t="str">
        <f>"1779"</f>
        <v>1779</v>
      </c>
      <c r="B1782" s="2" t="s">
        <v>9</v>
      </c>
      <c r="C1782" s="2" t="str">
        <f>"1 (1)"</f>
        <v>1 (1)</v>
      </c>
      <c r="D1782" s="2" t="s">
        <v>5950</v>
      </c>
      <c r="E1782" s="5" t="s">
        <v>5951</v>
      </c>
      <c r="F1782" s="3" t="s">
        <v>5952</v>
      </c>
      <c r="G1782" s="3" t="s">
        <v>4923</v>
      </c>
      <c r="H1782" s="2" t="str">
        <f>"2013"</f>
        <v>2013</v>
      </c>
      <c r="I1782" t="s">
        <v>14</v>
      </c>
      <c r="J1782" t="s">
        <v>15</v>
      </c>
    </row>
    <row r="1783" spans="1:10">
      <c r="A1783" s="2" t="str">
        <f>"1780"</f>
        <v>1780</v>
      </c>
      <c r="B1783" s="2" t="s">
        <v>9</v>
      </c>
      <c r="C1783" s="2" t="str">
        <f>"1 (1)"</f>
        <v>1 (1)</v>
      </c>
      <c r="D1783" s="2" t="s">
        <v>5953</v>
      </c>
      <c r="E1783" s="5" t="s">
        <v>5954</v>
      </c>
      <c r="F1783" s="3" t="s">
        <v>5955</v>
      </c>
      <c r="G1783" s="3" t="s">
        <v>4516</v>
      </c>
      <c r="H1783" s="2" t="str">
        <f>"2013"</f>
        <v>2013</v>
      </c>
      <c r="I1783" t="s">
        <v>14</v>
      </c>
      <c r="J1783" t="s">
        <v>15</v>
      </c>
    </row>
    <row r="1784" spans="1:10">
      <c r="A1784" s="2" t="str">
        <f>"1781"</f>
        <v>1781</v>
      </c>
      <c r="B1784" s="2" t="s">
        <v>9</v>
      </c>
      <c r="C1784" s="2" t="str">
        <f>"1 (1)"</f>
        <v>1 (1)</v>
      </c>
      <c r="D1784" s="2" t="s">
        <v>5956</v>
      </c>
      <c r="E1784" s="5" t="s">
        <v>5957</v>
      </c>
      <c r="F1784" s="3" t="s">
        <v>5958</v>
      </c>
      <c r="G1784" s="3" t="s">
        <v>2293</v>
      </c>
      <c r="H1784" s="2" t="str">
        <f>"2013"</f>
        <v>2013</v>
      </c>
      <c r="I1784" t="s">
        <v>14</v>
      </c>
      <c r="J1784" t="s">
        <v>15</v>
      </c>
    </row>
    <row r="1785" spans="1:10">
      <c r="A1785" s="2" t="str">
        <f>"1782"</f>
        <v>1782</v>
      </c>
      <c r="B1785" s="2" t="s">
        <v>9</v>
      </c>
      <c r="C1785" s="2" t="str">
        <f>"1 (1)"</f>
        <v>1 (1)</v>
      </c>
      <c r="D1785" s="2" t="s">
        <v>5959</v>
      </c>
      <c r="E1785" s="5" t="s">
        <v>5960</v>
      </c>
      <c r="F1785" s="3" t="s">
        <v>5961</v>
      </c>
      <c r="G1785" s="3" t="s">
        <v>5815</v>
      </c>
      <c r="H1785" s="2" t="str">
        <f>"2013"</f>
        <v>2013</v>
      </c>
      <c r="I1785" t="s">
        <v>14</v>
      </c>
      <c r="J1785" t="s">
        <v>15</v>
      </c>
    </row>
    <row r="1786" spans="1:10">
      <c r="A1786" s="2" t="str">
        <f>"1783"</f>
        <v>1783</v>
      </c>
      <c r="B1786" s="2" t="s">
        <v>9</v>
      </c>
      <c r="C1786" s="2" t="str">
        <f>"1 (1)"</f>
        <v>1 (1)</v>
      </c>
      <c r="D1786" s="2" t="s">
        <v>5962</v>
      </c>
      <c r="E1786" s="5" t="s">
        <v>5963</v>
      </c>
      <c r="F1786" s="3" t="s">
        <v>5964</v>
      </c>
      <c r="G1786" s="3" t="s">
        <v>5965</v>
      </c>
      <c r="H1786" s="2" t="str">
        <f>"2013"</f>
        <v>2013</v>
      </c>
      <c r="I1786" t="s">
        <v>14</v>
      </c>
      <c r="J1786" t="s">
        <v>15</v>
      </c>
    </row>
    <row r="1787" spans="1:10">
      <c r="A1787" s="2" t="str">
        <f>"1784"</f>
        <v>1784</v>
      </c>
      <c r="B1787" s="2" t="s">
        <v>9</v>
      </c>
      <c r="C1787" s="2" t="str">
        <f>"1 (1)"</f>
        <v>1 (1)</v>
      </c>
      <c r="D1787" s="2" t="s">
        <v>5966</v>
      </c>
      <c r="E1787" s="5" t="s">
        <v>5967</v>
      </c>
      <c r="F1787" s="3" t="s">
        <v>5968</v>
      </c>
      <c r="G1787" s="3" t="s">
        <v>5654</v>
      </c>
      <c r="H1787" s="2" t="str">
        <f>"2012"</f>
        <v>2012</v>
      </c>
      <c r="I1787" t="s">
        <v>14</v>
      </c>
      <c r="J1787" t="s">
        <v>15</v>
      </c>
    </row>
    <row r="1788" spans="1:10">
      <c r="A1788" s="2" t="str">
        <f>"1785"</f>
        <v>1785</v>
      </c>
      <c r="B1788" s="2" t="s">
        <v>9</v>
      </c>
      <c r="C1788" s="2" t="str">
        <f>"1 (1)"</f>
        <v>1 (1)</v>
      </c>
      <c r="D1788" s="2" t="s">
        <v>5969</v>
      </c>
      <c r="E1788" s="5" t="s">
        <v>5970</v>
      </c>
      <c r="F1788" s="3" t="s">
        <v>5971</v>
      </c>
      <c r="G1788" s="3" t="s">
        <v>5972</v>
      </c>
      <c r="H1788" s="2" t="str">
        <f>"2013"</f>
        <v>2013</v>
      </c>
      <c r="I1788" t="s">
        <v>14</v>
      </c>
      <c r="J1788" t="s">
        <v>15</v>
      </c>
    </row>
    <row r="1789" spans="1:10">
      <c r="A1789" s="2" t="str">
        <f>"1786"</f>
        <v>1786</v>
      </c>
      <c r="B1789" s="2" t="s">
        <v>9</v>
      </c>
      <c r="C1789" s="2" t="str">
        <f>"1 (1)"</f>
        <v>1 (1)</v>
      </c>
      <c r="D1789" s="2" t="s">
        <v>5973</v>
      </c>
      <c r="E1789" s="5" t="s">
        <v>5974</v>
      </c>
      <c r="F1789" s="3" t="s">
        <v>5975</v>
      </c>
      <c r="G1789" s="3" t="s">
        <v>5976</v>
      </c>
      <c r="H1789" s="2" t="str">
        <f>"2013"</f>
        <v>2013</v>
      </c>
      <c r="I1789" t="s">
        <v>14</v>
      </c>
      <c r="J1789" t="s">
        <v>15</v>
      </c>
    </row>
    <row r="1790" spans="1:10">
      <c r="A1790" s="2" t="str">
        <f>"1787"</f>
        <v>1787</v>
      </c>
      <c r="B1790" s="2" t="s">
        <v>9</v>
      </c>
      <c r="C1790" s="2" t="str">
        <f>"1 (1)"</f>
        <v>1 (1)</v>
      </c>
      <c r="D1790" s="2" t="s">
        <v>5977</v>
      </c>
      <c r="E1790" s="5" t="s">
        <v>5978</v>
      </c>
      <c r="F1790" s="3" t="s">
        <v>5979</v>
      </c>
      <c r="G1790" s="3" t="s">
        <v>2353</v>
      </c>
      <c r="H1790" s="2" t="str">
        <f>"2013"</f>
        <v>2013</v>
      </c>
      <c r="I1790" t="s">
        <v>14</v>
      </c>
      <c r="J1790" t="s">
        <v>15</v>
      </c>
    </row>
    <row r="1791" spans="1:10">
      <c r="A1791" s="2" t="str">
        <f>"1788"</f>
        <v>1788</v>
      </c>
      <c r="B1791" s="2" t="s">
        <v>9</v>
      </c>
      <c r="C1791" s="2" t="str">
        <f>"1 (1)"</f>
        <v>1 (1)</v>
      </c>
      <c r="D1791" s="2" t="s">
        <v>5980</v>
      </c>
      <c r="E1791" s="5" t="s">
        <v>5981</v>
      </c>
      <c r="F1791" s="3" t="s">
        <v>5982</v>
      </c>
      <c r="G1791" s="3" t="s">
        <v>936</v>
      </c>
      <c r="H1791" s="2" t="str">
        <f>"2012"</f>
        <v>2012</v>
      </c>
      <c r="I1791" t="s">
        <v>14</v>
      </c>
      <c r="J1791" t="s">
        <v>15</v>
      </c>
    </row>
    <row r="1792" spans="1:10">
      <c r="A1792" s="2" t="str">
        <f>"1789"</f>
        <v>1789</v>
      </c>
      <c r="B1792" s="2" t="s">
        <v>9</v>
      </c>
      <c r="C1792" s="2" t="str">
        <f>"1 (1)"</f>
        <v>1 (1)</v>
      </c>
      <c r="D1792" s="2" t="s">
        <v>5983</v>
      </c>
      <c r="E1792" s="5" t="s">
        <v>5984</v>
      </c>
      <c r="F1792" s="3" t="s">
        <v>5985</v>
      </c>
      <c r="G1792" s="3" t="s">
        <v>5986</v>
      </c>
      <c r="H1792" s="2" t="str">
        <f>"2013"</f>
        <v>2013</v>
      </c>
      <c r="I1792" t="s">
        <v>14</v>
      </c>
      <c r="J1792" t="s">
        <v>15</v>
      </c>
    </row>
    <row r="1793" spans="1:10">
      <c r="A1793" s="2" t="str">
        <f>"1790"</f>
        <v>1790</v>
      </c>
      <c r="B1793" s="2" t="s">
        <v>9</v>
      </c>
      <c r="C1793" s="2" t="str">
        <f>"1 (1)"</f>
        <v>1 (1)</v>
      </c>
      <c r="D1793" s="2" t="s">
        <v>5987</v>
      </c>
      <c r="E1793" s="5" t="s">
        <v>5988</v>
      </c>
      <c r="F1793" s="3" t="s">
        <v>5989</v>
      </c>
      <c r="G1793" s="3" t="s">
        <v>1390</v>
      </c>
      <c r="H1793" s="2" t="str">
        <f>"2012"</f>
        <v>2012</v>
      </c>
      <c r="I1793" t="s">
        <v>14</v>
      </c>
      <c r="J1793" t="s">
        <v>15</v>
      </c>
    </row>
    <row r="1794" spans="1:10">
      <c r="A1794" s="2" t="str">
        <f>"1791"</f>
        <v>1791</v>
      </c>
      <c r="B1794" s="2" t="s">
        <v>9</v>
      </c>
      <c r="C1794" s="2" t="str">
        <f>"1 (1)"</f>
        <v>1 (1)</v>
      </c>
      <c r="D1794" s="2" t="s">
        <v>5990</v>
      </c>
      <c r="E1794" s="5" t="s">
        <v>5991</v>
      </c>
      <c r="F1794" s="3" t="s">
        <v>5992</v>
      </c>
      <c r="G1794" s="3" t="s">
        <v>5993</v>
      </c>
      <c r="H1794" s="2" t="str">
        <f>"2013"</f>
        <v>2013</v>
      </c>
      <c r="I1794" t="s">
        <v>14</v>
      </c>
      <c r="J1794" t="s">
        <v>15</v>
      </c>
    </row>
    <row r="1795" spans="1:10">
      <c r="A1795" s="2" t="str">
        <f>"1792"</f>
        <v>1792</v>
      </c>
      <c r="B1795" s="2" t="s">
        <v>9</v>
      </c>
      <c r="C1795" s="2" t="str">
        <f>"1 (1)"</f>
        <v>1 (1)</v>
      </c>
      <c r="D1795" s="2" t="s">
        <v>5994</v>
      </c>
      <c r="E1795" s="5" t="s">
        <v>5995</v>
      </c>
      <c r="F1795" s="3" t="s">
        <v>5996</v>
      </c>
      <c r="G1795" s="3" t="s">
        <v>458</v>
      </c>
      <c r="H1795" s="2" t="str">
        <f>"2012"</f>
        <v>2012</v>
      </c>
      <c r="I1795" t="s">
        <v>14</v>
      </c>
      <c r="J1795" t="s">
        <v>15</v>
      </c>
    </row>
    <row r="1796" spans="1:10">
      <c r="A1796" s="2" t="str">
        <f>"1793"</f>
        <v>1793</v>
      </c>
      <c r="B1796" s="2" t="s">
        <v>9</v>
      </c>
      <c r="C1796" s="2" t="str">
        <f>"1 (1)"</f>
        <v>1 (1)</v>
      </c>
      <c r="D1796" s="2" t="s">
        <v>5997</v>
      </c>
      <c r="E1796" s="5" t="s">
        <v>5998</v>
      </c>
      <c r="F1796" s="3" t="s">
        <v>5999</v>
      </c>
      <c r="G1796" s="3" t="s">
        <v>2488</v>
      </c>
      <c r="H1796" s="2" t="str">
        <f>"2012"</f>
        <v>2012</v>
      </c>
      <c r="I1796" t="s">
        <v>14</v>
      </c>
      <c r="J1796" t="s">
        <v>15</v>
      </c>
    </row>
    <row r="1797" spans="1:10">
      <c r="A1797" s="2" t="str">
        <f>"1794"</f>
        <v>1794</v>
      </c>
      <c r="B1797" s="2" t="s">
        <v>9</v>
      </c>
      <c r="C1797" s="2" t="str">
        <f>"1 (1)"</f>
        <v>1 (1)</v>
      </c>
      <c r="D1797" s="2" t="s">
        <v>6000</v>
      </c>
      <c r="E1797" s="5" t="s">
        <v>6001</v>
      </c>
      <c r="F1797" s="3" t="s">
        <v>6002</v>
      </c>
      <c r="G1797" s="3" t="s">
        <v>2176</v>
      </c>
      <c r="H1797" s="2" t="str">
        <f>"2010"</f>
        <v>2010</v>
      </c>
      <c r="I1797" t="s">
        <v>14</v>
      </c>
      <c r="J1797" t="s">
        <v>15</v>
      </c>
    </row>
    <row r="1798" spans="1:10">
      <c r="A1798" s="2" t="str">
        <f>"1795"</f>
        <v>1795</v>
      </c>
      <c r="B1798" s="2" t="s">
        <v>9</v>
      </c>
      <c r="C1798" s="2" t="str">
        <f>"1 (1)"</f>
        <v>1 (1)</v>
      </c>
      <c r="D1798" s="2" t="s">
        <v>6003</v>
      </c>
      <c r="E1798" s="5" t="s">
        <v>6004</v>
      </c>
      <c r="F1798" s="3" t="s">
        <v>6005</v>
      </c>
      <c r="G1798" s="3" t="s">
        <v>3933</v>
      </c>
      <c r="H1798" s="2" t="str">
        <f>"2013"</f>
        <v>2013</v>
      </c>
      <c r="I1798" t="s">
        <v>14</v>
      </c>
      <c r="J1798" t="s">
        <v>15</v>
      </c>
    </row>
    <row r="1799" spans="1:10">
      <c r="A1799" s="2" t="str">
        <f>"1796"</f>
        <v>1796</v>
      </c>
      <c r="B1799" s="2" t="s">
        <v>9</v>
      </c>
      <c r="C1799" s="2" t="str">
        <f>"1 (1)"</f>
        <v>1 (1)</v>
      </c>
      <c r="D1799" s="2" t="s">
        <v>6006</v>
      </c>
      <c r="E1799" s="5" t="s">
        <v>6007</v>
      </c>
      <c r="F1799" s="3" t="s">
        <v>6008</v>
      </c>
      <c r="G1799" s="3" t="s">
        <v>936</v>
      </c>
      <c r="H1799" s="2" t="str">
        <f>"2013"</f>
        <v>2013</v>
      </c>
      <c r="I1799" t="s">
        <v>14</v>
      </c>
      <c r="J1799" t="s">
        <v>15</v>
      </c>
    </row>
    <row r="1800" spans="1:10">
      <c r="A1800" s="2" t="str">
        <f>"1797"</f>
        <v>1797</v>
      </c>
      <c r="B1800" s="2" t="s">
        <v>9</v>
      </c>
      <c r="C1800" s="2" t="str">
        <f>"1 (1)"</f>
        <v>1 (1)</v>
      </c>
      <c r="D1800" s="2" t="s">
        <v>6009</v>
      </c>
      <c r="E1800" s="5" t="s">
        <v>6010</v>
      </c>
      <c r="F1800" s="3" t="s">
        <v>6011</v>
      </c>
      <c r="G1800" s="3" t="s">
        <v>6012</v>
      </c>
      <c r="H1800" s="2" t="str">
        <f>"2013"</f>
        <v>2013</v>
      </c>
      <c r="I1800" t="s">
        <v>14</v>
      </c>
      <c r="J1800" t="s">
        <v>15</v>
      </c>
    </row>
    <row r="1801" spans="1:10">
      <c r="A1801" s="2" t="str">
        <f>"1798"</f>
        <v>1798</v>
      </c>
      <c r="B1801" s="2" t="s">
        <v>9</v>
      </c>
      <c r="C1801" s="2" t="str">
        <f>"1 (1)"</f>
        <v>1 (1)</v>
      </c>
      <c r="D1801" s="2" t="s">
        <v>6013</v>
      </c>
      <c r="E1801" s="5" t="s">
        <v>6014</v>
      </c>
      <c r="F1801" s="3" t="s">
        <v>6015</v>
      </c>
      <c r="G1801" s="3" t="s">
        <v>3198</v>
      </c>
      <c r="H1801" s="2" t="str">
        <f>"2013"</f>
        <v>2013</v>
      </c>
      <c r="I1801" t="s">
        <v>14</v>
      </c>
      <c r="J1801" t="s">
        <v>15</v>
      </c>
    </row>
    <row r="1802" spans="1:10">
      <c r="A1802" s="2" t="str">
        <f>"1799"</f>
        <v>1799</v>
      </c>
      <c r="B1802" s="2" t="s">
        <v>9</v>
      </c>
      <c r="C1802" s="2" t="str">
        <f>"1 (1)"</f>
        <v>1 (1)</v>
      </c>
      <c r="D1802" s="2" t="s">
        <v>6016</v>
      </c>
      <c r="E1802" s="5" t="s">
        <v>6017</v>
      </c>
      <c r="F1802" s="3" t="s">
        <v>6018</v>
      </c>
      <c r="G1802" s="3" t="s">
        <v>6019</v>
      </c>
      <c r="H1802" s="2" t="str">
        <f>"2013"</f>
        <v>2013</v>
      </c>
      <c r="I1802" t="s">
        <v>14</v>
      </c>
      <c r="J1802" t="s">
        <v>15</v>
      </c>
    </row>
    <row r="1803" spans="1:10">
      <c r="A1803" s="2" t="str">
        <f>"1800"</f>
        <v>1800</v>
      </c>
      <c r="B1803" s="2" t="s">
        <v>9</v>
      </c>
      <c r="C1803" s="2" t="str">
        <f>"1 (1)"</f>
        <v>1 (1)</v>
      </c>
      <c r="D1803" s="2" t="s">
        <v>6020</v>
      </c>
      <c r="E1803" s="5" t="s">
        <v>6021</v>
      </c>
      <c r="F1803" s="3" t="s">
        <v>6022</v>
      </c>
      <c r="G1803" s="3" t="s">
        <v>6023</v>
      </c>
      <c r="H1803" s="2" t="str">
        <f>"2013"</f>
        <v>2013</v>
      </c>
      <c r="I1803" t="s">
        <v>14</v>
      </c>
      <c r="J1803" t="s">
        <v>15</v>
      </c>
    </row>
    <row r="1804" spans="1:10">
      <c r="A1804" s="2" t="str">
        <f>"1801"</f>
        <v>1801</v>
      </c>
      <c r="B1804" s="2" t="s">
        <v>9</v>
      </c>
      <c r="C1804" s="2" t="str">
        <f>"1 (1)"</f>
        <v>1 (1)</v>
      </c>
      <c r="D1804" s="2" t="s">
        <v>6024</v>
      </c>
      <c r="E1804" s="5" t="s">
        <v>6025</v>
      </c>
      <c r="F1804" s="3" t="s">
        <v>6026</v>
      </c>
      <c r="G1804" s="3" t="s">
        <v>6027</v>
      </c>
      <c r="H1804" s="2" t="str">
        <f>"2012"</f>
        <v>2012</v>
      </c>
      <c r="I1804" t="s">
        <v>14</v>
      </c>
      <c r="J1804" t="s">
        <v>15</v>
      </c>
    </row>
    <row r="1805" spans="1:10">
      <c r="A1805" s="2" t="str">
        <f>"1802"</f>
        <v>1802</v>
      </c>
      <c r="B1805" s="2" t="s">
        <v>9</v>
      </c>
      <c r="C1805" s="2" t="str">
        <f>"1 (1)"</f>
        <v>1 (1)</v>
      </c>
      <c r="D1805" s="2" t="s">
        <v>6028</v>
      </c>
      <c r="E1805" s="5" t="s">
        <v>6029</v>
      </c>
      <c r="F1805" s="3" t="s">
        <v>6030</v>
      </c>
      <c r="G1805" s="3" t="s">
        <v>5976</v>
      </c>
      <c r="H1805" s="2" t="str">
        <f>"2012"</f>
        <v>2012</v>
      </c>
      <c r="I1805" t="s">
        <v>14</v>
      </c>
      <c r="J1805" t="s">
        <v>15</v>
      </c>
    </row>
    <row r="1806" spans="1:10">
      <c r="A1806" s="2" t="str">
        <f>"1803"</f>
        <v>1803</v>
      </c>
      <c r="B1806" s="2" t="s">
        <v>9</v>
      </c>
      <c r="C1806" s="2" t="str">
        <f>"1 (1)"</f>
        <v>1 (1)</v>
      </c>
      <c r="D1806" s="2" t="s">
        <v>6031</v>
      </c>
      <c r="E1806" s="5" t="s">
        <v>6032</v>
      </c>
      <c r="F1806" s="3" t="s">
        <v>6033</v>
      </c>
      <c r="G1806" s="3" t="s">
        <v>5976</v>
      </c>
      <c r="H1806" s="2" t="str">
        <f>"2013"</f>
        <v>2013</v>
      </c>
      <c r="I1806" t="s">
        <v>14</v>
      </c>
      <c r="J1806" t="s">
        <v>15</v>
      </c>
    </row>
    <row r="1807" spans="1:10">
      <c r="A1807" s="2" t="str">
        <f>"1804"</f>
        <v>1804</v>
      </c>
      <c r="B1807" s="2" t="s">
        <v>9</v>
      </c>
      <c r="C1807" s="2" t="str">
        <f>"1 (1)"</f>
        <v>1 (1)</v>
      </c>
      <c r="D1807" s="2" t="s">
        <v>6034</v>
      </c>
      <c r="E1807" s="5" t="s">
        <v>6035</v>
      </c>
      <c r="F1807" s="3" t="s">
        <v>6033</v>
      </c>
      <c r="G1807" s="3" t="s">
        <v>5976</v>
      </c>
      <c r="H1807" s="2" t="str">
        <f>"2013"</f>
        <v>2013</v>
      </c>
      <c r="I1807" t="s">
        <v>14</v>
      </c>
      <c r="J1807" t="s">
        <v>15</v>
      </c>
    </row>
    <row r="1808" spans="1:10">
      <c r="A1808" s="2" t="str">
        <f>"1805"</f>
        <v>1805</v>
      </c>
      <c r="B1808" s="2" t="s">
        <v>9</v>
      </c>
      <c r="C1808" s="2" t="str">
        <f>"1 (1)"</f>
        <v>1 (1)</v>
      </c>
      <c r="D1808" s="2" t="s">
        <v>6036</v>
      </c>
      <c r="E1808" s="5" t="s">
        <v>6037</v>
      </c>
      <c r="F1808" s="3" t="s">
        <v>6033</v>
      </c>
      <c r="G1808" s="3" t="s">
        <v>5976</v>
      </c>
      <c r="H1808" s="2" t="str">
        <f>"2013"</f>
        <v>2013</v>
      </c>
      <c r="I1808" t="s">
        <v>14</v>
      </c>
      <c r="J1808" t="s">
        <v>15</v>
      </c>
    </row>
    <row r="1809" spans="1:10">
      <c r="A1809" s="2" t="str">
        <f>"1806"</f>
        <v>1806</v>
      </c>
      <c r="B1809" s="2" t="s">
        <v>9</v>
      </c>
      <c r="C1809" s="2" t="str">
        <f>"1 (1)"</f>
        <v>1 (1)</v>
      </c>
      <c r="D1809" s="2" t="s">
        <v>6038</v>
      </c>
      <c r="E1809" s="5" t="s">
        <v>6039</v>
      </c>
      <c r="F1809" s="3" t="s">
        <v>6033</v>
      </c>
      <c r="G1809" s="3" t="s">
        <v>5976</v>
      </c>
      <c r="H1809" s="2" t="str">
        <f>"2013"</f>
        <v>2013</v>
      </c>
      <c r="I1809" t="s">
        <v>14</v>
      </c>
      <c r="J1809" t="s">
        <v>15</v>
      </c>
    </row>
    <row r="1810" spans="1:10">
      <c r="A1810" s="2" t="str">
        <f>"1807"</f>
        <v>1807</v>
      </c>
      <c r="B1810" s="2" t="s">
        <v>9</v>
      </c>
      <c r="C1810" s="2" t="str">
        <f>"1 (1)"</f>
        <v>1 (1)</v>
      </c>
      <c r="D1810" s="2" t="s">
        <v>6040</v>
      </c>
      <c r="E1810" s="5" t="s">
        <v>6041</v>
      </c>
      <c r="F1810" s="3" t="s">
        <v>6042</v>
      </c>
      <c r="G1810" s="3" t="s">
        <v>6043</v>
      </c>
      <c r="H1810" s="2" t="str">
        <f>"2010"</f>
        <v>2010</v>
      </c>
      <c r="I1810" t="s">
        <v>14</v>
      </c>
      <c r="J1810" t="s">
        <v>15</v>
      </c>
    </row>
    <row r="1811" spans="1:10">
      <c r="A1811" s="2" t="str">
        <f>"1808"</f>
        <v>1808</v>
      </c>
      <c r="B1811" s="2" t="s">
        <v>9</v>
      </c>
      <c r="C1811" s="2" t="str">
        <f>"1 (1)"</f>
        <v>1 (1)</v>
      </c>
      <c r="D1811" s="2" t="s">
        <v>6044</v>
      </c>
      <c r="E1811" s="5" t="s">
        <v>6045</v>
      </c>
      <c r="F1811" s="3" t="s">
        <v>6042</v>
      </c>
      <c r="G1811" s="3" t="s">
        <v>6043</v>
      </c>
      <c r="H1811" s="2" t="str">
        <f>"2010"</f>
        <v>2010</v>
      </c>
      <c r="I1811" t="s">
        <v>14</v>
      </c>
      <c r="J1811" t="s">
        <v>15</v>
      </c>
    </row>
    <row r="1812" spans="1:10">
      <c r="A1812" s="2" t="str">
        <f>"1809"</f>
        <v>1809</v>
      </c>
      <c r="B1812" s="2" t="s">
        <v>9</v>
      </c>
      <c r="C1812" s="2" t="str">
        <f>"1 (1)"</f>
        <v>1 (1)</v>
      </c>
      <c r="D1812" s="2" t="s">
        <v>6046</v>
      </c>
      <c r="E1812" s="5" t="s">
        <v>6047</v>
      </c>
      <c r="F1812" s="3" t="s">
        <v>6048</v>
      </c>
      <c r="G1812" s="3" t="s">
        <v>6049</v>
      </c>
      <c r="H1812" s="2" t="str">
        <f>"2013"</f>
        <v>2013</v>
      </c>
      <c r="I1812" t="s">
        <v>14</v>
      </c>
      <c r="J1812" t="s">
        <v>15</v>
      </c>
    </row>
    <row r="1813" spans="1:10">
      <c r="A1813" s="2" t="str">
        <f>"1810"</f>
        <v>1810</v>
      </c>
      <c r="B1813" s="2" t="s">
        <v>9</v>
      </c>
      <c r="C1813" s="2" t="str">
        <f>"1 (1)"</f>
        <v>1 (1)</v>
      </c>
      <c r="D1813" s="2" t="s">
        <v>6050</v>
      </c>
      <c r="E1813" s="5" t="s">
        <v>6051</v>
      </c>
      <c r="F1813" s="3" t="s">
        <v>6052</v>
      </c>
      <c r="G1813" s="3" t="s">
        <v>2492</v>
      </c>
      <c r="H1813" s="2" t="str">
        <f>"2013"</f>
        <v>2013</v>
      </c>
      <c r="I1813" t="s">
        <v>14</v>
      </c>
      <c r="J1813" t="s">
        <v>15</v>
      </c>
    </row>
    <row r="1814" spans="1:10">
      <c r="A1814" s="2" t="str">
        <f>"1811"</f>
        <v>1811</v>
      </c>
      <c r="B1814" s="2" t="s">
        <v>9</v>
      </c>
      <c r="C1814" s="2" t="str">
        <f>"1 (1)"</f>
        <v>1 (1)</v>
      </c>
      <c r="D1814" s="2" t="s">
        <v>6053</v>
      </c>
      <c r="E1814" s="5" t="s">
        <v>6054</v>
      </c>
      <c r="F1814" s="3" t="s">
        <v>2336</v>
      </c>
      <c r="G1814" s="3" t="s">
        <v>5819</v>
      </c>
      <c r="H1814" s="2" t="str">
        <f>"2012"</f>
        <v>2012</v>
      </c>
      <c r="I1814" t="s">
        <v>14</v>
      </c>
      <c r="J1814" t="s">
        <v>15</v>
      </c>
    </row>
    <row r="1815" spans="1:10">
      <c r="A1815" s="2" t="str">
        <f>"1812"</f>
        <v>1812</v>
      </c>
      <c r="B1815" s="2" t="s">
        <v>9</v>
      </c>
      <c r="C1815" s="2" t="str">
        <f>"1 (1)"</f>
        <v>1 (1)</v>
      </c>
      <c r="D1815" s="2" t="s">
        <v>6055</v>
      </c>
      <c r="E1815" s="5" t="s">
        <v>6056</v>
      </c>
      <c r="F1815" s="3" t="s">
        <v>6057</v>
      </c>
      <c r="G1815" s="3" t="s">
        <v>4931</v>
      </c>
      <c r="H1815" s="2" t="str">
        <f>"2013"</f>
        <v>2013</v>
      </c>
      <c r="I1815" t="s">
        <v>14</v>
      </c>
      <c r="J1815" t="s">
        <v>15</v>
      </c>
    </row>
    <row r="1816" spans="1:10">
      <c r="A1816" s="2" t="str">
        <f>"1813"</f>
        <v>1813</v>
      </c>
      <c r="B1816" s="2" t="s">
        <v>9</v>
      </c>
      <c r="C1816" s="2" t="str">
        <f>"1 (1)"</f>
        <v>1 (1)</v>
      </c>
      <c r="D1816" s="2" t="s">
        <v>6058</v>
      </c>
      <c r="E1816" s="5" t="s">
        <v>6059</v>
      </c>
      <c r="F1816" s="3" t="s">
        <v>6060</v>
      </c>
      <c r="G1816" s="3" t="s">
        <v>2176</v>
      </c>
      <c r="H1816" s="2" t="str">
        <f>"2012"</f>
        <v>2012</v>
      </c>
      <c r="I1816" t="s">
        <v>14</v>
      </c>
      <c r="J1816" t="s">
        <v>15</v>
      </c>
    </row>
    <row r="1817" spans="1:10">
      <c r="A1817" s="2" t="str">
        <f>"1814"</f>
        <v>1814</v>
      </c>
      <c r="B1817" s="2" t="s">
        <v>9</v>
      </c>
      <c r="C1817" s="2" t="str">
        <f>"1 (1)"</f>
        <v>1 (1)</v>
      </c>
      <c r="D1817" s="2" t="s">
        <v>6061</v>
      </c>
      <c r="E1817" s="5" t="s">
        <v>6062</v>
      </c>
      <c r="F1817" s="3" t="s">
        <v>6063</v>
      </c>
      <c r="G1817" s="3" t="s">
        <v>6064</v>
      </c>
      <c r="H1817" s="2" t="str">
        <f>"2013"</f>
        <v>2013</v>
      </c>
      <c r="I1817" t="s">
        <v>14</v>
      </c>
      <c r="J1817" t="s">
        <v>15</v>
      </c>
    </row>
    <row r="1818" spans="1:10">
      <c r="A1818" s="2" t="str">
        <f>"1815"</f>
        <v>1815</v>
      </c>
      <c r="B1818" s="2" t="s">
        <v>9</v>
      </c>
      <c r="C1818" s="2" t="str">
        <f>"1 (1)"</f>
        <v>1 (1)</v>
      </c>
      <c r="D1818" s="2" t="s">
        <v>6065</v>
      </c>
      <c r="E1818" s="5" t="s">
        <v>6066</v>
      </c>
      <c r="F1818" s="3" t="s">
        <v>6067</v>
      </c>
      <c r="G1818" s="3" t="s">
        <v>6068</v>
      </c>
      <c r="H1818" s="2" t="str">
        <f>"2012"</f>
        <v>2012</v>
      </c>
      <c r="I1818" t="s">
        <v>14</v>
      </c>
      <c r="J1818" t="s">
        <v>15</v>
      </c>
    </row>
    <row r="1819" spans="1:10">
      <c r="A1819" s="2" t="str">
        <f>"1816"</f>
        <v>1816</v>
      </c>
      <c r="B1819" s="2" t="s">
        <v>9</v>
      </c>
      <c r="C1819" s="2" t="str">
        <f>"1 (1)"</f>
        <v>1 (1)</v>
      </c>
      <c r="D1819" s="2" t="s">
        <v>6069</v>
      </c>
      <c r="E1819" s="5" t="s">
        <v>6070</v>
      </c>
      <c r="F1819" s="3" t="s">
        <v>6071</v>
      </c>
      <c r="G1819" s="3" t="s">
        <v>6072</v>
      </c>
      <c r="H1819" s="2" t="str">
        <f>"2012"</f>
        <v>2012</v>
      </c>
      <c r="I1819" t="s">
        <v>14</v>
      </c>
      <c r="J1819" t="s">
        <v>15</v>
      </c>
    </row>
    <row r="1820" spans="1:10">
      <c r="A1820" s="2" t="str">
        <f>"1817"</f>
        <v>1817</v>
      </c>
      <c r="B1820" s="2" t="s">
        <v>9</v>
      </c>
      <c r="C1820" s="2" t="str">
        <f>"1 (1)"</f>
        <v>1 (1)</v>
      </c>
      <c r="D1820" s="2" t="s">
        <v>6073</v>
      </c>
      <c r="E1820" s="5" t="s">
        <v>6074</v>
      </c>
      <c r="F1820" s="3" t="s">
        <v>6075</v>
      </c>
      <c r="G1820" s="3" t="s">
        <v>6076</v>
      </c>
      <c r="H1820" s="2" t="str">
        <f>"2013"</f>
        <v>2013</v>
      </c>
      <c r="I1820" t="s">
        <v>14</v>
      </c>
      <c r="J1820" t="s">
        <v>15</v>
      </c>
    </row>
    <row r="1821" spans="1:10">
      <c r="A1821" s="2" t="str">
        <f>"1818"</f>
        <v>1818</v>
      </c>
      <c r="B1821" s="2" t="s">
        <v>9</v>
      </c>
      <c r="C1821" s="2" t="str">
        <f>"1 (1)"</f>
        <v>1 (1)</v>
      </c>
      <c r="D1821" s="2" t="s">
        <v>6077</v>
      </c>
      <c r="E1821" s="5" t="s">
        <v>6078</v>
      </c>
      <c r="F1821" s="3" t="s">
        <v>6079</v>
      </c>
      <c r="G1821" s="3" t="s">
        <v>6080</v>
      </c>
      <c r="H1821" s="2" t="str">
        <f>"2013"</f>
        <v>2013</v>
      </c>
      <c r="I1821" t="s">
        <v>14</v>
      </c>
      <c r="J1821" t="s">
        <v>15</v>
      </c>
    </row>
    <row r="1822" spans="1:10">
      <c r="A1822" s="2" t="str">
        <f>"1819"</f>
        <v>1819</v>
      </c>
      <c r="B1822" s="2" t="s">
        <v>9</v>
      </c>
      <c r="C1822" s="2" t="str">
        <f>"1 (1)"</f>
        <v>1 (1)</v>
      </c>
      <c r="D1822" s="2" t="s">
        <v>6081</v>
      </c>
      <c r="E1822" s="5" t="s">
        <v>6082</v>
      </c>
      <c r="F1822" s="3" t="s">
        <v>6083</v>
      </c>
      <c r="G1822" s="3" t="s">
        <v>6084</v>
      </c>
      <c r="H1822" s="2" t="str">
        <f>"2013"</f>
        <v>2013</v>
      </c>
      <c r="I1822" t="s">
        <v>14</v>
      </c>
      <c r="J1822" t="s">
        <v>15</v>
      </c>
    </row>
    <row r="1823" spans="1:10">
      <c r="A1823" s="2" t="str">
        <f>"1820"</f>
        <v>1820</v>
      </c>
      <c r="B1823" s="2" t="s">
        <v>9</v>
      </c>
      <c r="C1823" s="2" t="str">
        <f>"1 (1)"</f>
        <v>1 (1)</v>
      </c>
      <c r="D1823" s="2" t="s">
        <v>6085</v>
      </c>
      <c r="E1823" s="5" t="s">
        <v>6086</v>
      </c>
      <c r="F1823" s="3" t="s">
        <v>6087</v>
      </c>
      <c r="G1823" s="3" t="s">
        <v>3750</v>
      </c>
      <c r="H1823" s="2" t="str">
        <f>"2013"</f>
        <v>2013</v>
      </c>
      <c r="I1823" t="s">
        <v>14</v>
      </c>
      <c r="J1823" t="s">
        <v>15</v>
      </c>
    </row>
    <row r="1824" spans="1:10">
      <c r="A1824" s="2" t="str">
        <f>"1821"</f>
        <v>1821</v>
      </c>
      <c r="B1824" s="2" t="s">
        <v>9</v>
      </c>
      <c r="C1824" s="2" t="str">
        <f>"1 (1)"</f>
        <v>1 (1)</v>
      </c>
      <c r="D1824" s="2" t="s">
        <v>6088</v>
      </c>
      <c r="E1824" s="5" t="s">
        <v>6089</v>
      </c>
      <c r="F1824" s="3" t="s">
        <v>6090</v>
      </c>
      <c r="G1824" s="3" t="s">
        <v>3106</v>
      </c>
      <c r="H1824" s="2" t="str">
        <f>"2012"</f>
        <v>2012</v>
      </c>
      <c r="I1824" t="s">
        <v>14</v>
      </c>
      <c r="J1824" t="s">
        <v>15</v>
      </c>
    </row>
    <row r="1825" spans="1:10">
      <c r="A1825" s="2" t="str">
        <f>"1822"</f>
        <v>1822</v>
      </c>
      <c r="B1825" s="2" t="s">
        <v>9</v>
      </c>
      <c r="C1825" s="2" t="str">
        <f>"1 (1)"</f>
        <v>1 (1)</v>
      </c>
      <c r="D1825" s="2" t="s">
        <v>6091</v>
      </c>
      <c r="E1825" s="5" t="s">
        <v>6092</v>
      </c>
      <c r="F1825" s="3" t="s">
        <v>6093</v>
      </c>
      <c r="G1825" s="3" t="s">
        <v>3118</v>
      </c>
      <c r="H1825" s="2" t="str">
        <f>"2012"</f>
        <v>2012</v>
      </c>
      <c r="I1825" t="s">
        <v>14</v>
      </c>
      <c r="J1825" t="s">
        <v>15</v>
      </c>
    </row>
    <row r="1826" spans="1:10">
      <c r="A1826" s="2" t="str">
        <f>"1823"</f>
        <v>1823</v>
      </c>
      <c r="B1826" s="2" t="s">
        <v>9</v>
      </c>
      <c r="C1826" s="2" t="str">
        <f>"1 (1)"</f>
        <v>1 (1)</v>
      </c>
      <c r="D1826" s="2" t="s">
        <v>6094</v>
      </c>
      <c r="E1826" s="5" t="s">
        <v>6095</v>
      </c>
      <c r="F1826" s="3" t="s">
        <v>6096</v>
      </c>
      <c r="G1826" s="3" t="s">
        <v>443</v>
      </c>
      <c r="H1826" s="2" t="str">
        <f>"2013"</f>
        <v>2013</v>
      </c>
      <c r="I1826" t="s">
        <v>14</v>
      </c>
      <c r="J1826" t="s">
        <v>15</v>
      </c>
    </row>
    <row r="1827" spans="1:10">
      <c r="A1827" s="2" t="str">
        <f>"1824"</f>
        <v>1824</v>
      </c>
      <c r="B1827" s="2" t="s">
        <v>9</v>
      </c>
      <c r="C1827" s="2" t="str">
        <f>"1 (1)"</f>
        <v>1 (1)</v>
      </c>
      <c r="D1827" s="2" t="s">
        <v>6097</v>
      </c>
      <c r="E1827" s="5" t="s">
        <v>6098</v>
      </c>
      <c r="F1827" s="3" t="s">
        <v>6099</v>
      </c>
      <c r="G1827" s="3" t="s">
        <v>6100</v>
      </c>
      <c r="H1827" s="2" t="str">
        <f>"2013"</f>
        <v>2013</v>
      </c>
      <c r="I1827" t="s">
        <v>14</v>
      </c>
      <c r="J1827" t="s">
        <v>15</v>
      </c>
    </row>
    <row r="1828" spans="1:10">
      <c r="A1828" s="2" t="str">
        <f>"1825"</f>
        <v>1825</v>
      </c>
      <c r="B1828" s="2" t="s">
        <v>9</v>
      </c>
      <c r="C1828" s="2" t="str">
        <f>"1 (1)"</f>
        <v>1 (1)</v>
      </c>
      <c r="D1828" s="2" t="s">
        <v>6101</v>
      </c>
      <c r="E1828" s="5" t="s">
        <v>6102</v>
      </c>
      <c r="F1828" s="3" t="s">
        <v>6103</v>
      </c>
      <c r="G1828" s="3" t="s">
        <v>6104</v>
      </c>
      <c r="H1828" s="2" t="str">
        <f>"2013"</f>
        <v>2013</v>
      </c>
      <c r="I1828" t="s">
        <v>14</v>
      </c>
      <c r="J1828" t="s">
        <v>15</v>
      </c>
    </row>
    <row r="1829" spans="1:10">
      <c r="A1829" s="2" t="str">
        <f>"1826"</f>
        <v>1826</v>
      </c>
      <c r="B1829" s="2" t="s">
        <v>9</v>
      </c>
      <c r="C1829" s="2" t="str">
        <f>"1 (1)"</f>
        <v>1 (1)</v>
      </c>
      <c r="D1829" s="2" t="s">
        <v>6105</v>
      </c>
      <c r="E1829" s="5" t="s">
        <v>6106</v>
      </c>
      <c r="F1829" s="3" t="s">
        <v>6107</v>
      </c>
      <c r="G1829" s="3" t="s">
        <v>6108</v>
      </c>
      <c r="H1829" s="2" t="str">
        <f>"2013"</f>
        <v>2013</v>
      </c>
      <c r="I1829" t="s">
        <v>14</v>
      </c>
      <c r="J1829" t="s">
        <v>15</v>
      </c>
    </row>
    <row r="1830" spans="1:10">
      <c r="A1830" s="2" t="str">
        <f>"1827"</f>
        <v>1827</v>
      </c>
      <c r="B1830" s="2" t="s">
        <v>9</v>
      </c>
      <c r="C1830" s="2" t="str">
        <f>"1 (1)"</f>
        <v>1 (1)</v>
      </c>
      <c r="D1830" s="2" t="s">
        <v>6109</v>
      </c>
      <c r="E1830" s="5" t="s">
        <v>6110</v>
      </c>
      <c r="F1830" s="3" t="s">
        <v>6111</v>
      </c>
      <c r="G1830" s="3" t="s">
        <v>5815</v>
      </c>
      <c r="H1830" s="2" t="str">
        <f>"2013"</f>
        <v>2013</v>
      </c>
      <c r="I1830" t="s">
        <v>14</v>
      </c>
      <c r="J1830" t="s">
        <v>15</v>
      </c>
    </row>
    <row r="1831" spans="1:10">
      <c r="A1831" s="2" t="str">
        <f>"1828"</f>
        <v>1828</v>
      </c>
      <c r="B1831" s="2" t="s">
        <v>9</v>
      </c>
      <c r="C1831" s="2" t="str">
        <f>"1 (1)"</f>
        <v>1 (1)</v>
      </c>
      <c r="D1831" s="2" t="s">
        <v>6112</v>
      </c>
      <c r="E1831" s="5" t="s">
        <v>6113</v>
      </c>
      <c r="F1831" s="3" t="s">
        <v>6114</v>
      </c>
      <c r="G1831" s="3" t="s">
        <v>4667</v>
      </c>
      <c r="H1831" s="2" t="str">
        <f>"2013"</f>
        <v>2013</v>
      </c>
      <c r="I1831" t="s">
        <v>14</v>
      </c>
      <c r="J1831" t="s">
        <v>15</v>
      </c>
    </row>
    <row r="1832" spans="1:10">
      <c r="A1832" s="2" t="str">
        <f>"1829"</f>
        <v>1829</v>
      </c>
      <c r="B1832" s="2" t="s">
        <v>9</v>
      </c>
      <c r="C1832" s="2" t="str">
        <f>"1 (1)"</f>
        <v>1 (1)</v>
      </c>
      <c r="D1832" s="2" t="s">
        <v>6115</v>
      </c>
      <c r="E1832" s="5" t="s">
        <v>6116</v>
      </c>
      <c r="F1832" s="3" t="s">
        <v>6117</v>
      </c>
      <c r="G1832" s="3" t="s">
        <v>6118</v>
      </c>
      <c r="H1832" s="2" t="str">
        <f>"2012"</f>
        <v>2012</v>
      </c>
      <c r="I1832" t="s">
        <v>14</v>
      </c>
      <c r="J1832" t="s">
        <v>15</v>
      </c>
    </row>
    <row r="1833" spans="1:10">
      <c r="A1833" s="2" t="str">
        <f>"1830"</f>
        <v>1830</v>
      </c>
      <c r="B1833" s="2" t="s">
        <v>9</v>
      </c>
      <c r="C1833" s="2" t="str">
        <f>"1 (1)"</f>
        <v>1 (1)</v>
      </c>
      <c r="D1833" s="2" t="s">
        <v>6119</v>
      </c>
      <c r="E1833" s="5" t="s">
        <v>6120</v>
      </c>
      <c r="F1833" s="3" t="s">
        <v>6121</v>
      </c>
      <c r="G1833" s="3" t="s">
        <v>6122</v>
      </c>
      <c r="H1833" s="2" t="str">
        <f>"2013"</f>
        <v>2013</v>
      </c>
      <c r="I1833" t="s">
        <v>14</v>
      </c>
      <c r="J1833" t="s">
        <v>15</v>
      </c>
    </row>
    <row r="1834" spans="1:10">
      <c r="A1834" s="2" t="str">
        <f>"1831"</f>
        <v>1831</v>
      </c>
      <c r="B1834" s="2" t="s">
        <v>9</v>
      </c>
      <c r="C1834" s="2" t="str">
        <f>"1 (1)"</f>
        <v>1 (1)</v>
      </c>
      <c r="D1834" s="2" t="s">
        <v>6123</v>
      </c>
      <c r="E1834" s="5" t="s">
        <v>6124</v>
      </c>
      <c r="F1834" s="3" t="s">
        <v>6125</v>
      </c>
      <c r="G1834" s="3" t="s">
        <v>4021</v>
      </c>
      <c r="H1834" s="2" t="str">
        <f>"2013"</f>
        <v>2013</v>
      </c>
      <c r="I1834" t="s">
        <v>14</v>
      </c>
      <c r="J1834" t="s">
        <v>15</v>
      </c>
    </row>
    <row r="1835" spans="1:10">
      <c r="A1835" s="2" t="str">
        <f>"1832"</f>
        <v>1832</v>
      </c>
      <c r="B1835" s="2" t="s">
        <v>9</v>
      </c>
      <c r="C1835" s="2" t="str">
        <f>"1 (1)"</f>
        <v>1 (1)</v>
      </c>
      <c r="D1835" s="2" t="s">
        <v>6126</v>
      </c>
      <c r="E1835" s="5" t="s">
        <v>6127</v>
      </c>
      <c r="F1835" s="3" t="s">
        <v>6128</v>
      </c>
      <c r="G1835" s="3" t="s">
        <v>2474</v>
      </c>
      <c r="H1835" s="2" t="str">
        <f>"2013"</f>
        <v>2013</v>
      </c>
      <c r="I1835" t="s">
        <v>14</v>
      </c>
      <c r="J1835" t="s">
        <v>15</v>
      </c>
    </row>
    <row r="1836" spans="1:10">
      <c r="A1836" s="2" t="str">
        <f>"1833"</f>
        <v>1833</v>
      </c>
      <c r="B1836" s="2" t="s">
        <v>9</v>
      </c>
      <c r="C1836" s="2" t="str">
        <f>"1 (1)"</f>
        <v>1 (1)</v>
      </c>
      <c r="D1836" s="2" t="s">
        <v>6129</v>
      </c>
      <c r="E1836" s="5" t="s">
        <v>6130</v>
      </c>
      <c r="F1836" s="3" t="s">
        <v>6131</v>
      </c>
      <c r="G1836" s="3" t="s">
        <v>1010</v>
      </c>
      <c r="H1836" s="2" t="str">
        <f>"2013"</f>
        <v>2013</v>
      </c>
      <c r="I1836" t="s">
        <v>14</v>
      </c>
      <c r="J1836" t="s">
        <v>15</v>
      </c>
    </row>
    <row r="1837" spans="1:10">
      <c r="A1837" s="2" t="str">
        <f>"1834"</f>
        <v>1834</v>
      </c>
      <c r="B1837" s="2" t="s">
        <v>9</v>
      </c>
      <c r="C1837" s="2" t="str">
        <f>"1 (1)"</f>
        <v>1 (1)</v>
      </c>
      <c r="D1837" s="2" t="s">
        <v>6132</v>
      </c>
      <c r="E1837" s="5" t="s">
        <v>6133</v>
      </c>
      <c r="F1837" s="3" t="s">
        <v>6134</v>
      </c>
      <c r="G1837" s="3" t="s">
        <v>2438</v>
      </c>
      <c r="H1837" s="2" t="str">
        <f>"2013"</f>
        <v>2013</v>
      </c>
      <c r="I1837" t="s">
        <v>14</v>
      </c>
      <c r="J1837" t="s">
        <v>15</v>
      </c>
    </row>
    <row r="1838" spans="1:10">
      <c r="A1838" s="2" t="str">
        <f>"1835"</f>
        <v>1835</v>
      </c>
      <c r="B1838" s="2" t="s">
        <v>9</v>
      </c>
      <c r="C1838" s="2" t="str">
        <f>"1 (1)"</f>
        <v>1 (1)</v>
      </c>
      <c r="D1838" s="2" t="s">
        <v>6135</v>
      </c>
      <c r="E1838" s="5" t="s">
        <v>6136</v>
      </c>
      <c r="F1838" s="3" t="s">
        <v>6137</v>
      </c>
      <c r="G1838" s="3" t="s">
        <v>6138</v>
      </c>
      <c r="H1838" s="2" t="str">
        <f>"2012"</f>
        <v>2012</v>
      </c>
      <c r="I1838" t="s">
        <v>14</v>
      </c>
      <c r="J1838" t="s">
        <v>15</v>
      </c>
    </row>
    <row r="1839" spans="1:10">
      <c r="A1839" s="2" t="str">
        <f>"1836"</f>
        <v>1836</v>
      </c>
      <c r="B1839" s="2" t="s">
        <v>9</v>
      </c>
      <c r="C1839" s="2" t="str">
        <f>"1 (1)"</f>
        <v>1 (1)</v>
      </c>
      <c r="D1839" s="2" t="s">
        <v>6139</v>
      </c>
      <c r="E1839" s="5" t="s">
        <v>6140</v>
      </c>
      <c r="F1839" s="3" t="s">
        <v>6137</v>
      </c>
      <c r="G1839" s="3" t="s">
        <v>6138</v>
      </c>
      <c r="H1839" s="2" t="str">
        <f>"2012"</f>
        <v>2012</v>
      </c>
      <c r="I1839" t="s">
        <v>14</v>
      </c>
      <c r="J1839" t="s">
        <v>15</v>
      </c>
    </row>
    <row r="1840" spans="1:10">
      <c r="A1840" s="2" t="str">
        <f>"1837"</f>
        <v>1837</v>
      </c>
      <c r="B1840" s="2" t="s">
        <v>9</v>
      </c>
      <c r="C1840" s="2" t="str">
        <f>"1 (1)"</f>
        <v>1 (1)</v>
      </c>
      <c r="D1840" s="2" t="s">
        <v>6141</v>
      </c>
      <c r="E1840" s="5" t="s">
        <v>6142</v>
      </c>
      <c r="F1840" s="3" t="s">
        <v>6143</v>
      </c>
      <c r="G1840" s="3" t="s">
        <v>2421</v>
      </c>
      <c r="H1840" s="2" t="str">
        <f>"2013"</f>
        <v>2013</v>
      </c>
      <c r="I1840" t="s">
        <v>14</v>
      </c>
      <c r="J1840" t="s">
        <v>15</v>
      </c>
    </row>
    <row r="1841" spans="1:10">
      <c r="A1841" s="2" t="str">
        <f>"1838"</f>
        <v>1838</v>
      </c>
      <c r="B1841" s="2" t="s">
        <v>9</v>
      </c>
      <c r="C1841" s="2" t="str">
        <f>"1 (1)"</f>
        <v>1 (1)</v>
      </c>
      <c r="D1841" s="2" t="s">
        <v>6144</v>
      </c>
      <c r="E1841" s="5" t="s">
        <v>6145</v>
      </c>
      <c r="F1841" s="3" t="s">
        <v>6146</v>
      </c>
      <c r="G1841" s="3" t="s">
        <v>4907</v>
      </c>
      <c r="H1841" s="2" t="str">
        <f>"2013"</f>
        <v>2013</v>
      </c>
      <c r="I1841" t="s">
        <v>14</v>
      </c>
      <c r="J1841" t="s">
        <v>15</v>
      </c>
    </row>
    <row r="1842" spans="1:10">
      <c r="A1842" s="2" t="str">
        <f>"1839"</f>
        <v>1839</v>
      </c>
      <c r="B1842" s="2" t="s">
        <v>9</v>
      </c>
      <c r="C1842" s="2" t="str">
        <f>"1 (1)"</f>
        <v>1 (1)</v>
      </c>
      <c r="D1842" s="2" t="s">
        <v>6147</v>
      </c>
      <c r="E1842" s="5" t="s">
        <v>6148</v>
      </c>
      <c r="F1842" s="3" t="s">
        <v>6149</v>
      </c>
      <c r="G1842" s="3" t="s">
        <v>3129</v>
      </c>
      <c r="H1842" s="2" t="str">
        <f>"2012"</f>
        <v>2012</v>
      </c>
      <c r="I1842" t="s">
        <v>14</v>
      </c>
      <c r="J1842" t="s">
        <v>15</v>
      </c>
    </row>
    <row r="1843" spans="1:10">
      <c r="A1843" s="2" t="str">
        <f>"1840"</f>
        <v>1840</v>
      </c>
      <c r="B1843" s="2" t="s">
        <v>9</v>
      </c>
      <c r="C1843" s="2" t="str">
        <f>"1 (1)"</f>
        <v>1 (1)</v>
      </c>
      <c r="D1843" s="2" t="s">
        <v>6150</v>
      </c>
      <c r="E1843" s="5" t="s">
        <v>6151</v>
      </c>
      <c r="F1843" s="3" t="s">
        <v>6152</v>
      </c>
      <c r="G1843" s="3" t="s">
        <v>832</v>
      </c>
      <c r="H1843" s="2" t="str">
        <f>"2013"</f>
        <v>2013</v>
      </c>
      <c r="I1843" t="s">
        <v>14</v>
      </c>
      <c r="J1843" t="s">
        <v>15</v>
      </c>
    </row>
    <row r="1844" spans="1:10">
      <c r="A1844" s="2" t="str">
        <f>"1841"</f>
        <v>1841</v>
      </c>
      <c r="B1844" s="2" t="s">
        <v>9</v>
      </c>
      <c r="C1844" s="2" t="str">
        <f>"1 (1)"</f>
        <v>1 (1)</v>
      </c>
      <c r="D1844" s="2" t="s">
        <v>6153</v>
      </c>
      <c r="E1844" s="5" t="s">
        <v>6154</v>
      </c>
      <c r="F1844" s="3" t="s">
        <v>6155</v>
      </c>
      <c r="G1844" s="3" t="s">
        <v>2572</v>
      </c>
      <c r="H1844" s="2" t="str">
        <f>"2013"</f>
        <v>2013</v>
      </c>
      <c r="I1844" t="s">
        <v>14</v>
      </c>
      <c r="J1844" t="s">
        <v>15</v>
      </c>
    </row>
    <row r="1845" spans="1:10">
      <c r="A1845" s="2" t="str">
        <f>"1842"</f>
        <v>1842</v>
      </c>
      <c r="B1845" s="2" t="s">
        <v>9</v>
      </c>
      <c r="C1845" s="2" t="str">
        <f>"1 (1)"</f>
        <v>1 (1)</v>
      </c>
      <c r="D1845" s="2" t="s">
        <v>6156</v>
      </c>
      <c r="E1845" s="5" t="s">
        <v>6157</v>
      </c>
      <c r="F1845" s="3" t="s">
        <v>6158</v>
      </c>
      <c r="G1845" s="3" t="s">
        <v>2504</v>
      </c>
      <c r="H1845" s="2" t="str">
        <f>"2009"</f>
        <v>2009</v>
      </c>
      <c r="I1845" t="s">
        <v>14</v>
      </c>
      <c r="J1845" t="s">
        <v>15</v>
      </c>
    </row>
    <row r="1846" spans="1:10">
      <c r="A1846" s="2" t="str">
        <f>"1843"</f>
        <v>1843</v>
      </c>
      <c r="B1846" s="2" t="s">
        <v>9</v>
      </c>
      <c r="C1846" s="2" t="str">
        <f>"1 (1)"</f>
        <v>1 (1)</v>
      </c>
      <c r="D1846" s="2" t="s">
        <v>6159</v>
      </c>
      <c r="E1846" s="5" t="s">
        <v>6160</v>
      </c>
      <c r="F1846" s="3" t="s">
        <v>5523</v>
      </c>
      <c r="G1846" s="3" t="s">
        <v>4365</v>
      </c>
      <c r="H1846" s="2" t="str">
        <f>"2012"</f>
        <v>2012</v>
      </c>
      <c r="I1846" t="s">
        <v>14</v>
      </c>
      <c r="J1846" t="s">
        <v>15</v>
      </c>
    </row>
    <row r="1847" spans="1:10">
      <c r="A1847" s="2" t="str">
        <f>"1844"</f>
        <v>1844</v>
      </c>
      <c r="B1847" s="2" t="s">
        <v>9</v>
      </c>
      <c r="C1847" s="2" t="str">
        <f>"1 (1)"</f>
        <v>1 (1)</v>
      </c>
      <c r="D1847" s="2" t="s">
        <v>6161</v>
      </c>
      <c r="E1847" s="5" t="s">
        <v>4461</v>
      </c>
      <c r="F1847" s="3" t="s">
        <v>4462</v>
      </c>
      <c r="G1847" s="3" t="s">
        <v>3607</v>
      </c>
      <c r="H1847" s="2" t="str">
        <f>"2013"</f>
        <v>2013</v>
      </c>
      <c r="I1847" t="s">
        <v>14</v>
      </c>
      <c r="J1847" t="s">
        <v>15</v>
      </c>
    </row>
    <row r="1848" spans="1:10">
      <c r="A1848" s="2" t="str">
        <f>"1845"</f>
        <v>1845</v>
      </c>
      <c r="B1848" s="2" t="s">
        <v>9</v>
      </c>
      <c r="C1848" s="2" t="str">
        <f>"1 (1)"</f>
        <v>1 (1)</v>
      </c>
      <c r="D1848" s="2" t="s">
        <v>6162</v>
      </c>
      <c r="E1848" s="5" t="s">
        <v>6163</v>
      </c>
      <c r="F1848" s="3" t="s">
        <v>6164</v>
      </c>
      <c r="G1848" s="3" t="s">
        <v>3179</v>
      </c>
      <c r="H1848" s="2" t="str">
        <f>"2013"</f>
        <v>2013</v>
      </c>
      <c r="I1848" t="s">
        <v>14</v>
      </c>
      <c r="J1848" t="s">
        <v>15</v>
      </c>
    </row>
    <row r="1849" spans="1:10">
      <c r="A1849" s="2" t="str">
        <f>"1846"</f>
        <v>1846</v>
      </c>
      <c r="B1849" s="2" t="s">
        <v>9</v>
      </c>
      <c r="C1849" s="2" t="str">
        <f>"1 (1)"</f>
        <v>1 (1)</v>
      </c>
      <c r="D1849" s="2" t="s">
        <v>6165</v>
      </c>
      <c r="E1849" s="5" t="s">
        <v>6166</v>
      </c>
      <c r="F1849" s="3" t="s">
        <v>6167</v>
      </c>
      <c r="G1849" s="3" t="s">
        <v>54</v>
      </c>
      <c r="H1849" s="2" t="str">
        <f>"2013"</f>
        <v>2013</v>
      </c>
      <c r="I1849" t="s">
        <v>14</v>
      </c>
      <c r="J1849" t="s">
        <v>15</v>
      </c>
    </row>
    <row r="1850" spans="1:10">
      <c r="A1850" s="2" t="str">
        <f>"1847"</f>
        <v>1847</v>
      </c>
      <c r="B1850" s="2" t="s">
        <v>9</v>
      </c>
      <c r="C1850" s="2" t="str">
        <f>"1 (1)"</f>
        <v>1 (1)</v>
      </c>
      <c r="D1850" s="2" t="s">
        <v>6168</v>
      </c>
      <c r="E1850" s="5" t="s">
        <v>6169</v>
      </c>
      <c r="F1850" s="3" t="s">
        <v>6170</v>
      </c>
      <c r="G1850" s="3" t="s">
        <v>3102</v>
      </c>
      <c r="H1850" s="2" t="str">
        <f>"2013"</f>
        <v>2013</v>
      </c>
      <c r="I1850" t="s">
        <v>14</v>
      </c>
      <c r="J1850" t="s">
        <v>15</v>
      </c>
    </row>
    <row r="1851" spans="1:10">
      <c r="A1851" s="2" t="str">
        <f>"1848"</f>
        <v>1848</v>
      </c>
      <c r="B1851" s="2" t="s">
        <v>9</v>
      </c>
      <c r="C1851" s="2" t="str">
        <f>"1 (1)"</f>
        <v>1 (1)</v>
      </c>
      <c r="D1851" s="2" t="s">
        <v>6171</v>
      </c>
      <c r="E1851" s="5" t="s">
        <v>6172</v>
      </c>
      <c r="F1851" s="3" t="s">
        <v>6173</v>
      </c>
      <c r="G1851" s="3" t="s">
        <v>6174</v>
      </c>
      <c r="H1851" s="2" t="str">
        <f>"2012"</f>
        <v>2012</v>
      </c>
      <c r="I1851" t="s">
        <v>14</v>
      </c>
      <c r="J1851" t="s">
        <v>15</v>
      </c>
    </row>
    <row r="1852" spans="1:10">
      <c r="A1852" s="2" t="str">
        <f>"1849"</f>
        <v>1849</v>
      </c>
      <c r="B1852" s="2" t="s">
        <v>9</v>
      </c>
      <c r="C1852" s="2" t="str">
        <f>"1 (1)"</f>
        <v>1 (1)</v>
      </c>
      <c r="D1852" s="2" t="s">
        <v>6175</v>
      </c>
      <c r="E1852" s="5" t="s">
        <v>6176</v>
      </c>
      <c r="F1852" s="3" t="s">
        <v>6177</v>
      </c>
      <c r="G1852" s="3" t="s">
        <v>6178</v>
      </c>
      <c r="H1852" s="2" t="str">
        <f>"2012"</f>
        <v>2012</v>
      </c>
      <c r="I1852" t="s">
        <v>14</v>
      </c>
      <c r="J1852" t="s">
        <v>15</v>
      </c>
    </row>
    <row r="1853" spans="1:10">
      <c r="A1853" s="2" t="str">
        <f>"1850"</f>
        <v>1850</v>
      </c>
      <c r="B1853" s="2" t="s">
        <v>9</v>
      </c>
      <c r="C1853" s="2" t="str">
        <f>"1 (1)"</f>
        <v>1 (1)</v>
      </c>
      <c r="D1853" s="2" t="s">
        <v>6179</v>
      </c>
      <c r="E1853" s="5" t="s">
        <v>6180</v>
      </c>
      <c r="F1853" s="3" t="s">
        <v>6181</v>
      </c>
      <c r="G1853" s="3" t="s">
        <v>2176</v>
      </c>
      <c r="H1853" s="2" t="str">
        <f>"2010"</f>
        <v>2010</v>
      </c>
      <c r="I1853" t="s">
        <v>14</v>
      </c>
      <c r="J1853" t="s">
        <v>15</v>
      </c>
    </row>
    <row r="1854" spans="1:10">
      <c r="A1854" s="2" t="str">
        <f>"1851"</f>
        <v>1851</v>
      </c>
      <c r="B1854" s="2" t="s">
        <v>9</v>
      </c>
      <c r="C1854" s="2" t="str">
        <f>"1 (1)"</f>
        <v>1 (1)</v>
      </c>
      <c r="D1854" s="2" t="s">
        <v>6182</v>
      </c>
      <c r="E1854" s="5" t="s">
        <v>6183</v>
      </c>
      <c r="F1854" s="3" t="s">
        <v>6184</v>
      </c>
      <c r="G1854" s="3" t="s">
        <v>6185</v>
      </c>
      <c r="H1854" s="2" t="str">
        <f>"2012"</f>
        <v>2012</v>
      </c>
      <c r="I1854" t="s">
        <v>14</v>
      </c>
      <c r="J1854" t="s">
        <v>15</v>
      </c>
    </row>
    <row r="1855" spans="1:10">
      <c r="A1855" s="2" t="str">
        <f>"1852"</f>
        <v>1852</v>
      </c>
      <c r="B1855" s="2" t="s">
        <v>9</v>
      </c>
      <c r="C1855" s="2" t="str">
        <f>"1 (1)"</f>
        <v>1 (1)</v>
      </c>
      <c r="D1855" s="2" t="s">
        <v>6186</v>
      </c>
      <c r="E1855" s="5" t="s">
        <v>6183</v>
      </c>
      <c r="F1855" s="3" t="s">
        <v>6184</v>
      </c>
      <c r="G1855" s="3" t="s">
        <v>6185</v>
      </c>
      <c r="H1855" s="2" t="str">
        <f>"2012"</f>
        <v>2012</v>
      </c>
      <c r="I1855" t="s">
        <v>14</v>
      </c>
      <c r="J1855" t="s">
        <v>15</v>
      </c>
    </row>
    <row r="1856" spans="1:10">
      <c r="A1856" s="2" t="str">
        <f>"1853"</f>
        <v>1853</v>
      </c>
      <c r="B1856" s="2" t="s">
        <v>9</v>
      </c>
      <c r="C1856" s="2" t="str">
        <f>"1 (1)"</f>
        <v>1 (1)</v>
      </c>
      <c r="D1856" s="2" t="s">
        <v>6187</v>
      </c>
      <c r="E1856" s="5" t="s">
        <v>6188</v>
      </c>
      <c r="F1856" s="3" t="s">
        <v>6189</v>
      </c>
      <c r="G1856" s="3" t="s">
        <v>6190</v>
      </c>
      <c r="H1856" s="2" t="str">
        <f>"2013"</f>
        <v>2013</v>
      </c>
      <c r="I1856" t="s">
        <v>14</v>
      </c>
      <c r="J1856" t="s">
        <v>15</v>
      </c>
    </row>
    <row r="1857" spans="1:10">
      <c r="A1857" s="2" t="str">
        <f>"1854"</f>
        <v>1854</v>
      </c>
      <c r="B1857" s="2" t="s">
        <v>9</v>
      </c>
      <c r="C1857" s="2" t="str">
        <f>"1 (1)"</f>
        <v>1 (1)</v>
      </c>
      <c r="D1857" s="2" t="s">
        <v>6191</v>
      </c>
      <c r="E1857" s="5" t="s">
        <v>6192</v>
      </c>
      <c r="F1857" s="3" t="s">
        <v>6189</v>
      </c>
      <c r="G1857" s="3" t="s">
        <v>6190</v>
      </c>
      <c r="H1857" s="2" t="str">
        <f>"2013"</f>
        <v>2013</v>
      </c>
      <c r="I1857" t="s">
        <v>14</v>
      </c>
      <c r="J1857" t="s">
        <v>15</v>
      </c>
    </row>
    <row r="1858" spans="1:10">
      <c r="A1858" s="2" t="str">
        <f>"1855"</f>
        <v>1855</v>
      </c>
      <c r="B1858" s="2" t="s">
        <v>9</v>
      </c>
      <c r="C1858" s="2" t="str">
        <f>"1 (1)"</f>
        <v>1 (1)</v>
      </c>
      <c r="D1858" s="2" t="s">
        <v>6193</v>
      </c>
      <c r="E1858" s="5" t="s">
        <v>6194</v>
      </c>
      <c r="F1858" s="3" t="s">
        <v>6195</v>
      </c>
      <c r="G1858" s="3" t="s">
        <v>6043</v>
      </c>
      <c r="H1858" s="2" t="str">
        <f>"2009"</f>
        <v>2009</v>
      </c>
      <c r="I1858" t="s">
        <v>14</v>
      </c>
      <c r="J1858" t="s">
        <v>15</v>
      </c>
    </row>
    <row r="1859" spans="1:10">
      <c r="A1859" s="2" t="str">
        <f>"1856"</f>
        <v>1856</v>
      </c>
      <c r="B1859" s="2" t="s">
        <v>9</v>
      </c>
      <c r="C1859" s="2" t="str">
        <f>"1 (1)"</f>
        <v>1 (1)</v>
      </c>
      <c r="D1859" s="2" t="s">
        <v>6196</v>
      </c>
      <c r="E1859" s="5" t="s">
        <v>6197</v>
      </c>
      <c r="F1859" s="3" t="s">
        <v>6195</v>
      </c>
      <c r="G1859" s="3" t="s">
        <v>6043</v>
      </c>
      <c r="H1859" s="2" t="str">
        <f>"2009"</f>
        <v>2009</v>
      </c>
      <c r="I1859" t="s">
        <v>14</v>
      </c>
      <c r="J1859" t="s">
        <v>15</v>
      </c>
    </row>
    <row r="1860" spans="1:10">
      <c r="A1860" s="2" t="str">
        <f>"1857"</f>
        <v>1857</v>
      </c>
      <c r="B1860" s="2" t="s">
        <v>9</v>
      </c>
      <c r="C1860" s="2" t="str">
        <f>"1 (1)"</f>
        <v>1 (1)</v>
      </c>
      <c r="D1860" s="2" t="s">
        <v>6198</v>
      </c>
      <c r="E1860" s="5" t="s">
        <v>6199</v>
      </c>
      <c r="F1860" s="3" t="s">
        <v>6200</v>
      </c>
      <c r="G1860" s="3" t="s">
        <v>6201</v>
      </c>
      <c r="H1860" s="2" t="str">
        <f>"2013"</f>
        <v>2013</v>
      </c>
      <c r="I1860" t="s">
        <v>14</v>
      </c>
      <c r="J1860" t="s">
        <v>15</v>
      </c>
    </row>
    <row r="1861" spans="1:10">
      <c r="A1861" s="2" t="str">
        <f>"1858"</f>
        <v>1858</v>
      </c>
      <c r="B1861" s="2" t="s">
        <v>9</v>
      </c>
      <c r="C1861" s="2" t="str">
        <f>"1 (1)"</f>
        <v>1 (1)</v>
      </c>
      <c r="D1861" s="2" t="s">
        <v>6202</v>
      </c>
      <c r="E1861" s="5" t="s">
        <v>6203</v>
      </c>
      <c r="F1861" s="3" t="s">
        <v>6204</v>
      </c>
      <c r="G1861" s="3" t="s">
        <v>6201</v>
      </c>
      <c r="H1861" s="2" t="str">
        <f>"2013"</f>
        <v>2013</v>
      </c>
      <c r="I1861" t="s">
        <v>14</v>
      </c>
      <c r="J1861" t="s">
        <v>15</v>
      </c>
    </row>
    <row r="1862" spans="1:10">
      <c r="A1862" s="2" t="str">
        <f>"1859"</f>
        <v>1859</v>
      </c>
      <c r="B1862" s="2" t="s">
        <v>9</v>
      </c>
      <c r="C1862" s="2" t="str">
        <f>"1 (1)"</f>
        <v>1 (1)</v>
      </c>
      <c r="D1862" s="2" t="s">
        <v>6205</v>
      </c>
      <c r="E1862" s="5" t="s">
        <v>6206</v>
      </c>
      <c r="F1862" s="3" t="s">
        <v>6207</v>
      </c>
      <c r="G1862" s="3" t="s">
        <v>6201</v>
      </c>
      <c r="H1862" s="2" t="str">
        <f>"2013"</f>
        <v>2013</v>
      </c>
      <c r="I1862" t="s">
        <v>14</v>
      </c>
      <c r="J1862" t="s">
        <v>15</v>
      </c>
    </row>
    <row r="1863" spans="1:10">
      <c r="A1863" s="2" t="str">
        <f>"1860"</f>
        <v>1860</v>
      </c>
      <c r="B1863" s="2" t="s">
        <v>9</v>
      </c>
      <c r="C1863" s="2" t="str">
        <f>"1 (1)"</f>
        <v>1 (1)</v>
      </c>
      <c r="D1863" s="2" t="s">
        <v>6208</v>
      </c>
      <c r="E1863" s="5" t="s">
        <v>6209</v>
      </c>
      <c r="F1863" s="3" t="s">
        <v>6210</v>
      </c>
      <c r="G1863" s="3" t="s">
        <v>6201</v>
      </c>
      <c r="H1863" s="2" t="str">
        <f>"2013"</f>
        <v>2013</v>
      </c>
      <c r="I1863" t="s">
        <v>14</v>
      </c>
      <c r="J1863" t="s">
        <v>15</v>
      </c>
    </row>
    <row r="1864" spans="1:10">
      <c r="A1864" s="2" t="str">
        <f>"1861"</f>
        <v>1861</v>
      </c>
      <c r="B1864" s="2" t="s">
        <v>9</v>
      </c>
      <c r="C1864" s="2" t="str">
        <f>"1 (1)"</f>
        <v>1 (1)</v>
      </c>
      <c r="D1864" s="2" t="s">
        <v>6211</v>
      </c>
      <c r="E1864" s="5" t="s">
        <v>6212</v>
      </c>
      <c r="F1864" s="3" t="s">
        <v>6213</v>
      </c>
      <c r="G1864" s="3" t="s">
        <v>6201</v>
      </c>
      <c r="H1864" s="2" t="str">
        <f>"2013"</f>
        <v>2013</v>
      </c>
      <c r="I1864" t="s">
        <v>14</v>
      </c>
      <c r="J1864" t="s">
        <v>15</v>
      </c>
    </row>
    <row r="1865" spans="1:10">
      <c r="A1865" s="2" t="str">
        <f>"1862"</f>
        <v>1862</v>
      </c>
      <c r="B1865" s="2" t="s">
        <v>9</v>
      </c>
      <c r="C1865" s="2" t="str">
        <f>"1 (1)"</f>
        <v>1 (1)</v>
      </c>
      <c r="D1865" s="2" t="s">
        <v>6214</v>
      </c>
      <c r="E1865" s="5" t="s">
        <v>6215</v>
      </c>
      <c r="F1865" s="3" t="s">
        <v>6216</v>
      </c>
      <c r="G1865" s="3" t="s">
        <v>4411</v>
      </c>
      <c r="H1865" s="2" t="str">
        <f>"2013"</f>
        <v>2013</v>
      </c>
      <c r="I1865" t="s">
        <v>14</v>
      </c>
      <c r="J1865" t="s">
        <v>15</v>
      </c>
    </row>
    <row r="1866" spans="1:10">
      <c r="A1866" s="2" t="str">
        <f>"1863"</f>
        <v>1863</v>
      </c>
      <c r="B1866" s="2" t="s">
        <v>9</v>
      </c>
      <c r="C1866" s="2" t="str">
        <f>"1 (1)"</f>
        <v>1 (1)</v>
      </c>
      <c r="D1866" s="2" t="s">
        <v>6217</v>
      </c>
      <c r="E1866" s="5" t="s">
        <v>6218</v>
      </c>
      <c r="F1866" s="3" t="s">
        <v>4760</v>
      </c>
      <c r="G1866" s="3" t="s">
        <v>6219</v>
      </c>
      <c r="H1866" s="2" t="str">
        <f>"2013"</f>
        <v>2013</v>
      </c>
      <c r="I1866" t="s">
        <v>14</v>
      </c>
      <c r="J1866" t="s">
        <v>15</v>
      </c>
    </row>
    <row r="1867" spans="1:10">
      <c r="A1867" s="2" t="str">
        <f>"1864"</f>
        <v>1864</v>
      </c>
      <c r="B1867" s="2" t="s">
        <v>9</v>
      </c>
      <c r="C1867" s="2" t="str">
        <f>"1 (1)"</f>
        <v>1 (1)</v>
      </c>
      <c r="D1867" s="2" t="s">
        <v>6220</v>
      </c>
      <c r="E1867" s="5" t="s">
        <v>6221</v>
      </c>
      <c r="F1867" s="3" t="s">
        <v>6222</v>
      </c>
      <c r="G1867" s="3" t="s">
        <v>6223</v>
      </c>
      <c r="H1867" s="2" t="str">
        <f>"2013"</f>
        <v>2013</v>
      </c>
      <c r="I1867" t="s">
        <v>14</v>
      </c>
      <c r="J1867" t="s">
        <v>15</v>
      </c>
    </row>
    <row r="1868" spans="1:10">
      <c r="A1868" s="2" t="str">
        <f>"1865"</f>
        <v>1865</v>
      </c>
      <c r="B1868" s="2" t="s">
        <v>9</v>
      </c>
      <c r="C1868" s="2" t="str">
        <f>"1 (1)"</f>
        <v>1 (1)</v>
      </c>
      <c r="D1868" s="2" t="s">
        <v>6224</v>
      </c>
      <c r="E1868" s="5" t="s">
        <v>6225</v>
      </c>
      <c r="F1868" s="3" t="s">
        <v>6226</v>
      </c>
      <c r="G1868" s="3" t="s">
        <v>3965</v>
      </c>
      <c r="H1868" s="2" t="str">
        <f>"2013"</f>
        <v>2013</v>
      </c>
      <c r="I1868" t="s">
        <v>14</v>
      </c>
      <c r="J1868" t="s">
        <v>15</v>
      </c>
    </row>
    <row r="1869" spans="1:10">
      <c r="A1869" s="2" t="str">
        <f>"1866"</f>
        <v>1866</v>
      </c>
      <c r="B1869" s="2" t="s">
        <v>9</v>
      </c>
      <c r="C1869" s="2" t="str">
        <f>"1 (1)"</f>
        <v>1 (1)</v>
      </c>
      <c r="D1869" s="2" t="s">
        <v>6227</v>
      </c>
      <c r="E1869" s="5" t="s">
        <v>6228</v>
      </c>
      <c r="F1869" s="3" t="s">
        <v>6229</v>
      </c>
      <c r="G1869" s="3" t="s">
        <v>6230</v>
      </c>
      <c r="H1869" s="2" t="str">
        <f>"2013"</f>
        <v>2013</v>
      </c>
      <c r="I1869" t="s">
        <v>14</v>
      </c>
      <c r="J1869" t="s">
        <v>15</v>
      </c>
    </row>
    <row r="1870" spans="1:10">
      <c r="A1870" s="2" t="str">
        <f>"1867"</f>
        <v>1867</v>
      </c>
      <c r="B1870" s="2" t="s">
        <v>9</v>
      </c>
      <c r="C1870" s="2" t="str">
        <f>"1 (1)"</f>
        <v>1 (1)</v>
      </c>
      <c r="D1870" s="2" t="s">
        <v>6231</v>
      </c>
      <c r="E1870" s="5" t="s">
        <v>6232</v>
      </c>
      <c r="F1870" s="3" t="s">
        <v>6233</v>
      </c>
      <c r="G1870" s="3" t="s">
        <v>832</v>
      </c>
      <c r="H1870" s="2" t="str">
        <f>"2013"</f>
        <v>2013</v>
      </c>
      <c r="I1870" t="s">
        <v>14</v>
      </c>
      <c r="J1870" t="s">
        <v>15</v>
      </c>
    </row>
    <row r="1871" spans="1:10">
      <c r="A1871" s="2" t="str">
        <f>"1868"</f>
        <v>1868</v>
      </c>
      <c r="B1871" s="2" t="s">
        <v>9</v>
      </c>
      <c r="C1871" s="2" t="str">
        <f>"1 (1)"</f>
        <v>1 (1)</v>
      </c>
      <c r="D1871" s="2" t="s">
        <v>6234</v>
      </c>
      <c r="E1871" s="5" t="s">
        <v>6235</v>
      </c>
      <c r="F1871" s="3" t="s">
        <v>6236</v>
      </c>
      <c r="G1871" s="3" t="s">
        <v>4931</v>
      </c>
      <c r="H1871" s="2" t="str">
        <f>"2013"</f>
        <v>2013</v>
      </c>
      <c r="I1871" t="s">
        <v>14</v>
      </c>
      <c r="J1871" t="s">
        <v>15</v>
      </c>
    </row>
    <row r="1872" spans="1:10">
      <c r="A1872" s="2" t="str">
        <f>"1869"</f>
        <v>1869</v>
      </c>
      <c r="B1872" s="2" t="s">
        <v>9</v>
      </c>
      <c r="C1872" s="2" t="str">
        <f>"1 (1)"</f>
        <v>1 (1)</v>
      </c>
      <c r="D1872" s="2" t="s">
        <v>6237</v>
      </c>
      <c r="E1872" s="5" t="s">
        <v>6238</v>
      </c>
      <c r="F1872" s="3" t="s">
        <v>6239</v>
      </c>
      <c r="G1872" s="3" t="s">
        <v>2140</v>
      </c>
      <c r="H1872" s="2" t="str">
        <f>"2013"</f>
        <v>2013</v>
      </c>
      <c r="I1872" t="s">
        <v>14</v>
      </c>
      <c r="J1872" t="s">
        <v>15</v>
      </c>
    </row>
    <row r="1873" spans="1:10">
      <c r="A1873" s="2" t="str">
        <f>"1870"</f>
        <v>1870</v>
      </c>
      <c r="B1873" s="2" t="s">
        <v>9</v>
      </c>
      <c r="C1873" s="2" t="str">
        <f>"1 (1)"</f>
        <v>1 (1)</v>
      </c>
      <c r="D1873" s="2" t="s">
        <v>6240</v>
      </c>
      <c r="E1873" s="5" t="s">
        <v>6241</v>
      </c>
      <c r="F1873" s="3" t="s">
        <v>6242</v>
      </c>
      <c r="G1873" s="3" t="s">
        <v>6243</v>
      </c>
      <c r="H1873" s="2" t="str">
        <f>"2013"</f>
        <v>2013</v>
      </c>
      <c r="I1873" t="s">
        <v>14</v>
      </c>
      <c r="J1873" t="s">
        <v>15</v>
      </c>
    </row>
    <row r="1874" spans="1:10">
      <c r="A1874" s="2" t="str">
        <f>"1871"</f>
        <v>1871</v>
      </c>
      <c r="B1874" s="2" t="s">
        <v>9</v>
      </c>
      <c r="C1874" s="2" t="str">
        <f>"1 (1)"</f>
        <v>1 (1)</v>
      </c>
      <c r="D1874" s="2" t="s">
        <v>6244</v>
      </c>
      <c r="E1874" s="5" t="s">
        <v>6245</v>
      </c>
      <c r="F1874" s="3" t="s">
        <v>6246</v>
      </c>
      <c r="G1874" s="3" t="s">
        <v>6247</v>
      </c>
      <c r="H1874" s="2" t="str">
        <f>"2013"</f>
        <v>2013</v>
      </c>
      <c r="I1874" t="s">
        <v>14</v>
      </c>
      <c r="J1874" t="s">
        <v>15</v>
      </c>
    </row>
    <row r="1875" spans="1:10">
      <c r="A1875" s="2" t="str">
        <f>"1872"</f>
        <v>1872</v>
      </c>
      <c r="B1875" s="2" t="s">
        <v>9</v>
      </c>
      <c r="C1875" s="2" t="str">
        <f>"1 (1)"</f>
        <v>1 (1)</v>
      </c>
      <c r="D1875" s="2" t="s">
        <v>6248</v>
      </c>
      <c r="E1875" s="5" t="s">
        <v>6249</v>
      </c>
      <c r="F1875" s="3" t="s">
        <v>6250</v>
      </c>
      <c r="G1875" s="3" t="s">
        <v>4935</v>
      </c>
      <c r="H1875" s="2" t="str">
        <f>"2013"</f>
        <v>2013</v>
      </c>
      <c r="I1875" t="s">
        <v>14</v>
      </c>
      <c r="J1875" t="s">
        <v>15</v>
      </c>
    </row>
    <row r="1876" spans="1:10">
      <c r="A1876" s="2" t="str">
        <f>"1873"</f>
        <v>1873</v>
      </c>
      <c r="B1876" s="2" t="s">
        <v>9</v>
      </c>
      <c r="C1876" s="2" t="str">
        <f>"1 (1)"</f>
        <v>1 (1)</v>
      </c>
      <c r="D1876" s="2" t="s">
        <v>6251</v>
      </c>
      <c r="E1876" s="5" t="s">
        <v>6252</v>
      </c>
      <c r="F1876" s="3" t="s">
        <v>3936</v>
      </c>
      <c r="G1876" s="3" t="s">
        <v>2556</v>
      </c>
      <c r="H1876" s="2" t="str">
        <f>"2013"</f>
        <v>2013</v>
      </c>
      <c r="I1876" t="s">
        <v>14</v>
      </c>
      <c r="J1876" t="s">
        <v>15</v>
      </c>
    </row>
    <row r="1877" spans="1:10">
      <c r="A1877" s="2" t="str">
        <f>"1874"</f>
        <v>1874</v>
      </c>
      <c r="B1877" s="2" t="s">
        <v>9</v>
      </c>
      <c r="C1877" s="2" t="str">
        <f>"1 (1)"</f>
        <v>1 (1)</v>
      </c>
      <c r="D1877" s="2" t="s">
        <v>6253</v>
      </c>
      <c r="E1877" s="5" t="s">
        <v>6254</v>
      </c>
      <c r="F1877" s="3" t="s">
        <v>6255</v>
      </c>
      <c r="G1877" s="3" t="s">
        <v>5225</v>
      </c>
      <c r="H1877" s="2" t="str">
        <f>"2013"</f>
        <v>2013</v>
      </c>
      <c r="I1877" t="s">
        <v>14</v>
      </c>
      <c r="J1877" t="s">
        <v>15</v>
      </c>
    </row>
    <row r="1878" spans="1:10">
      <c r="A1878" s="2" t="str">
        <f>"1875"</f>
        <v>1875</v>
      </c>
      <c r="B1878" s="2" t="s">
        <v>9</v>
      </c>
      <c r="C1878" s="2" t="str">
        <f>"1 (1)"</f>
        <v>1 (1)</v>
      </c>
      <c r="D1878" s="2" t="s">
        <v>6256</v>
      </c>
      <c r="E1878" s="5" t="s">
        <v>6257</v>
      </c>
      <c r="F1878" s="3" t="s">
        <v>6258</v>
      </c>
      <c r="G1878" s="3" t="s">
        <v>6259</v>
      </c>
      <c r="H1878" s="2" t="str">
        <f>"2012"</f>
        <v>2012</v>
      </c>
      <c r="I1878" t="s">
        <v>14</v>
      </c>
      <c r="J1878" t="s">
        <v>15</v>
      </c>
    </row>
    <row r="1879" spans="1:10">
      <c r="A1879" s="2" t="str">
        <f>"1876"</f>
        <v>1876</v>
      </c>
      <c r="B1879" s="2" t="s">
        <v>9</v>
      </c>
      <c r="C1879" s="2" t="str">
        <f>"1 (1)"</f>
        <v>1 (1)</v>
      </c>
      <c r="D1879" s="2" t="s">
        <v>6260</v>
      </c>
      <c r="E1879" s="5" t="s">
        <v>6261</v>
      </c>
      <c r="F1879" s="3" t="s">
        <v>6262</v>
      </c>
      <c r="G1879" s="3" t="s">
        <v>6263</v>
      </c>
      <c r="H1879" s="2" t="str">
        <f>"2012"</f>
        <v>2012</v>
      </c>
      <c r="I1879" t="s">
        <v>14</v>
      </c>
      <c r="J1879" t="s">
        <v>15</v>
      </c>
    </row>
    <row r="1880" spans="1:10">
      <c r="A1880" s="2" t="str">
        <f>"1877"</f>
        <v>1877</v>
      </c>
      <c r="B1880" s="2" t="s">
        <v>9</v>
      </c>
      <c r="C1880" s="2" t="str">
        <f>"1 (1)"</f>
        <v>1 (1)</v>
      </c>
      <c r="D1880" s="2" t="s">
        <v>6264</v>
      </c>
      <c r="E1880" s="5" t="s">
        <v>6265</v>
      </c>
      <c r="F1880" s="3" t="s">
        <v>6266</v>
      </c>
      <c r="G1880" s="3" t="s">
        <v>6267</v>
      </c>
      <c r="H1880" s="2" t="str">
        <f>"2012"</f>
        <v>2012</v>
      </c>
      <c r="I1880" t="s">
        <v>14</v>
      </c>
      <c r="J1880" t="s">
        <v>15</v>
      </c>
    </row>
    <row r="1881" spans="1:10">
      <c r="A1881" s="2" t="str">
        <f>"1878"</f>
        <v>1878</v>
      </c>
      <c r="B1881" s="2" t="s">
        <v>9</v>
      </c>
      <c r="C1881" s="2" t="str">
        <f>"1 (1)"</f>
        <v>1 (1)</v>
      </c>
      <c r="D1881" s="2" t="s">
        <v>6268</v>
      </c>
      <c r="E1881" s="5" t="s">
        <v>6269</v>
      </c>
      <c r="F1881" s="3" t="s">
        <v>6270</v>
      </c>
      <c r="G1881" s="3" t="s">
        <v>6271</v>
      </c>
      <c r="H1881" s="2" t="str">
        <f>"2013"</f>
        <v>2013</v>
      </c>
      <c r="I1881" t="s">
        <v>14</v>
      </c>
      <c r="J1881" t="s">
        <v>15</v>
      </c>
    </row>
    <row r="1882" spans="1:10">
      <c r="A1882" s="2" t="str">
        <f>"1879"</f>
        <v>1879</v>
      </c>
      <c r="B1882" s="2" t="s">
        <v>9</v>
      </c>
      <c r="C1882" s="2" t="str">
        <f>"1 (1)"</f>
        <v>1 (1)</v>
      </c>
      <c r="D1882" s="2" t="s">
        <v>6272</v>
      </c>
      <c r="E1882" s="5" t="s">
        <v>6273</v>
      </c>
      <c r="F1882" s="3" t="s">
        <v>6274</v>
      </c>
      <c r="G1882" s="3" t="s">
        <v>5875</v>
      </c>
      <c r="H1882" s="2" t="str">
        <f>"2013"</f>
        <v>2013</v>
      </c>
      <c r="I1882" t="s">
        <v>14</v>
      </c>
      <c r="J1882" t="s">
        <v>15</v>
      </c>
    </row>
    <row r="1883" spans="1:10">
      <c r="A1883" s="2" t="str">
        <f>"1880"</f>
        <v>1880</v>
      </c>
      <c r="B1883" s="2" t="s">
        <v>9</v>
      </c>
      <c r="C1883" s="2" t="str">
        <f>"1 (1)"</f>
        <v>1 (1)</v>
      </c>
      <c r="D1883" s="2" t="s">
        <v>6275</v>
      </c>
      <c r="E1883" s="5" t="s">
        <v>6276</v>
      </c>
      <c r="F1883" s="3" t="s">
        <v>6277</v>
      </c>
      <c r="G1883" s="3" t="s">
        <v>6278</v>
      </c>
      <c r="H1883" s="2" t="str">
        <f>"2013"</f>
        <v>2013</v>
      </c>
      <c r="I1883" t="s">
        <v>14</v>
      </c>
      <c r="J1883" t="s">
        <v>15</v>
      </c>
    </row>
    <row r="1884" spans="1:10">
      <c r="A1884" s="2" t="str">
        <f>"1881"</f>
        <v>1881</v>
      </c>
      <c r="B1884" s="2" t="s">
        <v>9</v>
      </c>
      <c r="C1884" s="2" t="str">
        <f>"1 (1)"</f>
        <v>1 (1)</v>
      </c>
      <c r="D1884" s="2" t="s">
        <v>6279</v>
      </c>
      <c r="E1884" s="5" t="s">
        <v>6280</v>
      </c>
      <c r="F1884" s="3" t="s">
        <v>6281</v>
      </c>
      <c r="G1884" s="3" t="s">
        <v>3198</v>
      </c>
      <c r="H1884" s="2" t="str">
        <f>"2013"</f>
        <v>2013</v>
      </c>
      <c r="I1884" t="s">
        <v>14</v>
      </c>
      <c r="J1884" t="s">
        <v>15</v>
      </c>
    </row>
    <row r="1885" spans="1:10">
      <c r="A1885" s="2" t="str">
        <f>"1882"</f>
        <v>1882</v>
      </c>
      <c r="B1885" s="2" t="s">
        <v>9</v>
      </c>
      <c r="C1885" s="2" t="str">
        <f>"1 (1)"</f>
        <v>1 (1)</v>
      </c>
      <c r="D1885" s="2" t="s">
        <v>6282</v>
      </c>
      <c r="E1885" s="5" t="s">
        <v>6283</v>
      </c>
      <c r="F1885" s="3" t="s">
        <v>6284</v>
      </c>
      <c r="G1885" s="3" t="s">
        <v>2677</v>
      </c>
      <c r="H1885" s="2" t="str">
        <f>"2012"</f>
        <v>2012</v>
      </c>
      <c r="I1885" t="s">
        <v>14</v>
      </c>
      <c r="J1885" t="s">
        <v>15</v>
      </c>
    </row>
    <row r="1886" spans="1:10">
      <c r="A1886" s="2" t="str">
        <f>"1883"</f>
        <v>1883</v>
      </c>
      <c r="B1886" s="2" t="s">
        <v>9</v>
      </c>
      <c r="C1886" s="2" t="str">
        <f>"1 (1)"</f>
        <v>1 (1)</v>
      </c>
      <c r="D1886" s="2" t="s">
        <v>6285</v>
      </c>
      <c r="E1886" s="5" t="s">
        <v>6286</v>
      </c>
      <c r="F1886" s="3" t="s">
        <v>6287</v>
      </c>
      <c r="G1886" s="3" t="s">
        <v>5362</v>
      </c>
      <c r="H1886" s="2" t="str">
        <f>"2013"</f>
        <v>2013</v>
      </c>
      <c r="I1886" t="s">
        <v>14</v>
      </c>
      <c r="J1886" t="s">
        <v>15</v>
      </c>
    </row>
    <row r="1887" spans="1:10">
      <c r="A1887" s="2" t="str">
        <f>"1884"</f>
        <v>1884</v>
      </c>
      <c r="B1887" s="2" t="s">
        <v>9</v>
      </c>
      <c r="C1887" s="2" t="str">
        <f>"1 (1)"</f>
        <v>1 (1)</v>
      </c>
      <c r="D1887" s="2" t="s">
        <v>6288</v>
      </c>
      <c r="E1887" s="5" t="s">
        <v>6289</v>
      </c>
      <c r="F1887" s="3" t="s">
        <v>6290</v>
      </c>
      <c r="G1887" s="3" t="s">
        <v>6291</v>
      </c>
      <c r="H1887" s="2" t="str">
        <f>"2013"</f>
        <v>2013</v>
      </c>
      <c r="I1887" t="s">
        <v>14</v>
      </c>
      <c r="J1887" t="s">
        <v>15</v>
      </c>
    </row>
    <row r="1888" spans="1:10">
      <c r="A1888" s="2" t="str">
        <f>"1885"</f>
        <v>1885</v>
      </c>
      <c r="B1888" s="2" t="s">
        <v>9</v>
      </c>
      <c r="C1888" s="2" t="str">
        <f>"1 (1)"</f>
        <v>1 (1)</v>
      </c>
      <c r="D1888" s="2" t="s">
        <v>6292</v>
      </c>
      <c r="E1888" s="5" t="s">
        <v>6293</v>
      </c>
      <c r="F1888" s="3" t="s">
        <v>6294</v>
      </c>
      <c r="G1888" s="3" t="s">
        <v>6295</v>
      </c>
      <c r="H1888" s="2" t="str">
        <f>"2013"</f>
        <v>2013</v>
      </c>
      <c r="I1888" t="s">
        <v>14</v>
      </c>
      <c r="J1888" t="s">
        <v>15</v>
      </c>
    </row>
    <row r="1889" spans="1:10">
      <c r="A1889" s="2" t="str">
        <f>"1886"</f>
        <v>1886</v>
      </c>
      <c r="B1889" s="2" t="s">
        <v>9</v>
      </c>
      <c r="C1889" s="2" t="str">
        <f>"1 (1)"</f>
        <v>1 (1)</v>
      </c>
      <c r="D1889" s="2" t="s">
        <v>6296</v>
      </c>
      <c r="E1889" s="5" t="s">
        <v>6297</v>
      </c>
      <c r="F1889" s="3" t="s">
        <v>6298</v>
      </c>
      <c r="G1889" s="3" t="s">
        <v>443</v>
      </c>
      <c r="H1889" s="2" t="str">
        <f>"2012"</f>
        <v>2012</v>
      </c>
      <c r="I1889" t="s">
        <v>14</v>
      </c>
      <c r="J1889" t="s">
        <v>15</v>
      </c>
    </row>
    <row r="1890" spans="1:10">
      <c r="A1890" s="2" t="str">
        <f>"1887"</f>
        <v>1887</v>
      </c>
      <c r="B1890" s="2" t="s">
        <v>9</v>
      </c>
      <c r="C1890" s="2" t="str">
        <f>"1 (1)"</f>
        <v>1 (1)</v>
      </c>
      <c r="D1890" s="2" t="s">
        <v>6299</v>
      </c>
      <c r="E1890" s="5" t="s">
        <v>6300</v>
      </c>
      <c r="F1890" s="3" t="s">
        <v>6301</v>
      </c>
      <c r="G1890" s="3" t="s">
        <v>3815</v>
      </c>
      <c r="H1890" s="2" t="str">
        <f>"2012"</f>
        <v>2012</v>
      </c>
      <c r="I1890" t="s">
        <v>14</v>
      </c>
      <c r="J1890" t="s">
        <v>15</v>
      </c>
    </row>
    <row r="1891" spans="1:10">
      <c r="A1891" s="2" t="str">
        <f>"1888"</f>
        <v>1888</v>
      </c>
      <c r="B1891" s="2" t="s">
        <v>9</v>
      </c>
      <c r="C1891" s="2" t="str">
        <f>"1 (1)"</f>
        <v>1 (1)</v>
      </c>
      <c r="D1891" s="2" t="s">
        <v>6302</v>
      </c>
      <c r="E1891" s="5" t="s">
        <v>6303</v>
      </c>
      <c r="F1891" s="3" t="s">
        <v>6304</v>
      </c>
      <c r="G1891" s="3" t="s">
        <v>6305</v>
      </c>
      <c r="H1891" s="2" t="str">
        <f>"2005"</f>
        <v>2005</v>
      </c>
      <c r="I1891" t="s">
        <v>14</v>
      </c>
      <c r="J1891" t="s">
        <v>15</v>
      </c>
    </row>
    <row r="1892" spans="1:10">
      <c r="A1892" s="2" t="str">
        <f>"1889"</f>
        <v>1889</v>
      </c>
      <c r="B1892" s="2" t="s">
        <v>9</v>
      </c>
      <c r="C1892" s="2" t="str">
        <f>"1 (1)"</f>
        <v>1 (1)</v>
      </c>
      <c r="D1892" s="2" t="s">
        <v>6306</v>
      </c>
      <c r="E1892" s="5" t="s">
        <v>6307</v>
      </c>
      <c r="F1892" s="3" t="s">
        <v>6308</v>
      </c>
      <c r="G1892" s="3" t="s">
        <v>5214</v>
      </c>
      <c r="H1892" s="2" t="str">
        <f>"2013"</f>
        <v>2013</v>
      </c>
      <c r="I1892" t="s">
        <v>14</v>
      </c>
      <c r="J1892" t="s">
        <v>15</v>
      </c>
    </row>
    <row r="1893" spans="1:10">
      <c r="A1893" s="2" t="str">
        <f>"1890"</f>
        <v>1890</v>
      </c>
      <c r="B1893" s="2" t="s">
        <v>9</v>
      </c>
      <c r="C1893" s="2" t="str">
        <f>"1 (1)"</f>
        <v>1 (1)</v>
      </c>
      <c r="D1893" s="2" t="s">
        <v>6309</v>
      </c>
      <c r="E1893" s="5" t="s">
        <v>6310</v>
      </c>
      <c r="F1893" s="3" t="s">
        <v>6311</v>
      </c>
      <c r="G1893" s="3" t="s">
        <v>2421</v>
      </c>
      <c r="H1893" s="2" t="str">
        <f>"2011"</f>
        <v>2011</v>
      </c>
      <c r="I1893" t="s">
        <v>14</v>
      </c>
      <c r="J1893" t="s">
        <v>15</v>
      </c>
    </row>
    <row r="1894" spans="1:10">
      <c r="A1894" s="2" t="str">
        <f>"1891"</f>
        <v>1891</v>
      </c>
      <c r="B1894" s="2" t="s">
        <v>9</v>
      </c>
      <c r="C1894" s="2" t="str">
        <f>"1 (1)"</f>
        <v>1 (1)</v>
      </c>
      <c r="D1894" s="2" t="s">
        <v>6312</v>
      </c>
      <c r="E1894" s="5" t="s">
        <v>6313</v>
      </c>
      <c r="F1894" s="3" t="s">
        <v>6314</v>
      </c>
      <c r="G1894" s="3" t="s">
        <v>6315</v>
      </c>
      <c r="H1894" s="2" t="str">
        <f>"2012"</f>
        <v>2012</v>
      </c>
      <c r="I1894" t="s">
        <v>14</v>
      </c>
      <c r="J1894" t="s">
        <v>15</v>
      </c>
    </row>
    <row r="1895" spans="1:10">
      <c r="A1895" s="2" t="str">
        <f>"1892"</f>
        <v>1892</v>
      </c>
      <c r="B1895" s="2" t="s">
        <v>9</v>
      </c>
      <c r="C1895" s="2" t="str">
        <f>"1 (1)"</f>
        <v>1 (1)</v>
      </c>
      <c r="D1895" s="2" t="s">
        <v>6316</v>
      </c>
      <c r="E1895" s="5" t="s">
        <v>6317</v>
      </c>
      <c r="F1895" s="3" t="s">
        <v>6318</v>
      </c>
      <c r="G1895" s="3" t="s">
        <v>6319</v>
      </c>
      <c r="H1895" s="2" t="str">
        <f>"2012"</f>
        <v>2012</v>
      </c>
      <c r="I1895" t="s">
        <v>14</v>
      </c>
      <c r="J1895" t="s">
        <v>15</v>
      </c>
    </row>
    <row r="1896" spans="1:10">
      <c r="A1896" s="2" t="str">
        <f>"1893"</f>
        <v>1893</v>
      </c>
      <c r="B1896" s="2" t="s">
        <v>9</v>
      </c>
      <c r="C1896" s="2" t="str">
        <f>"1 (1)"</f>
        <v>1 (1)</v>
      </c>
      <c r="D1896" s="2" t="s">
        <v>6320</v>
      </c>
      <c r="E1896" s="5" t="s">
        <v>6321</v>
      </c>
      <c r="F1896" s="3" t="s">
        <v>6322</v>
      </c>
      <c r="G1896" s="3" t="s">
        <v>6323</v>
      </c>
      <c r="H1896" s="2" t="str">
        <f>"2012"</f>
        <v>2012</v>
      </c>
      <c r="I1896" t="s">
        <v>14</v>
      </c>
      <c r="J1896" t="s">
        <v>15</v>
      </c>
    </row>
    <row r="1897" spans="1:10">
      <c r="A1897" s="2" t="str">
        <f>"1894"</f>
        <v>1894</v>
      </c>
      <c r="B1897" s="2" t="s">
        <v>9</v>
      </c>
      <c r="C1897" s="2" t="str">
        <f>"1 (1)"</f>
        <v>1 (1)</v>
      </c>
      <c r="D1897" s="2" t="s">
        <v>6324</v>
      </c>
      <c r="E1897" s="5" t="s">
        <v>6325</v>
      </c>
      <c r="F1897" s="3" t="s">
        <v>6326</v>
      </c>
      <c r="G1897" s="3" t="s">
        <v>5362</v>
      </c>
      <c r="H1897" s="2" t="str">
        <f>"2013"</f>
        <v>2013</v>
      </c>
      <c r="I1897" t="s">
        <v>14</v>
      </c>
      <c r="J1897" t="s">
        <v>15</v>
      </c>
    </row>
    <row r="1898" spans="1:10">
      <c r="A1898" s="2" t="str">
        <f>"1895"</f>
        <v>1895</v>
      </c>
      <c r="B1898" s="2" t="s">
        <v>9</v>
      </c>
      <c r="C1898" s="2" t="str">
        <f>"1 (1)"</f>
        <v>1 (1)</v>
      </c>
      <c r="D1898" s="2" t="s">
        <v>6327</v>
      </c>
      <c r="E1898" s="5" t="s">
        <v>6328</v>
      </c>
      <c r="F1898" s="3" t="s">
        <v>6329</v>
      </c>
      <c r="G1898" s="3" t="s">
        <v>6330</v>
      </c>
      <c r="H1898" s="2" t="str">
        <f>"2012"</f>
        <v>2012</v>
      </c>
      <c r="I1898" t="s">
        <v>14</v>
      </c>
      <c r="J1898" t="s">
        <v>15</v>
      </c>
    </row>
    <row r="1899" spans="1:10">
      <c r="A1899" s="2" t="str">
        <f>"1896"</f>
        <v>1896</v>
      </c>
      <c r="B1899" s="2" t="s">
        <v>9</v>
      </c>
      <c r="C1899" s="2" t="str">
        <f>"1 (1)"</f>
        <v>1 (1)</v>
      </c>
      <c r="D1899" s="2" t="s">
        <v>6331</v>
      </c>
      <c r="E1899" s="5" t="s">
        <v>6332</v>
      </c>
      <c r="F1899" s="3" t="s">
        <v>6333</v>
      </c>
      <c r="G1899" s="3" t="s">
        <v>4965</v>
      </c>
      <c r="H1899" s="2" t="str">
        <f>"2013"</f>
        <v>2013</v>
      </c>
      <c r="I1899" t="s">
        <v>14</v>
      </c>
      <c r="J1899" t="s">
        <v>15</v>
      </c>
    </row>
    <row r="1900" spans="1:10">
      <c r="A1900" s="2" t="str">
        <f>"1897"</f>
        <v>1897</v>
      </c>
      <c r="B1900" s="2" t="s">
        <v>9</v>
      </c>
      <c r="C1900" s="2" t="str">
        <f>"1 (1)"</f>
        <v>1 (1)</v>
      </c>
      <c r="D1900" s="2" t="s">
        <v>6334</v>
      </c>
      <c r="E1900" s="5" t="s">
        <v>6335</v>
      </c>
      <c r="F1900" s="3" t="s">
        <v>6336</v>
      </c>
      <c r="G1900" s="3" t="s">
        <v>2610</v>
      </c>
      <c r="H1900" s="2" t="str">
        <f>"2013"</f>
        <v>2013</v>
      </c>
      <c r="I1900" t="s">
        <v>14</v>
      </c>
      <c r="J1900" t="s">
        <v>15</v>
      </c>
    </row>
    <row r="1901" spans="1:10">
      <c r="A1901" s="2" t="str">
        <f>"1898"</f>
        <v>1898</v>
      </c>
      <c r="B1901" s="2" t="s">
        <v>9</v>
      </c>
      <c r="C1901" s="2" t="str">
        <f>"1 (1)"</f>
        <v>1 (1)</v>
      </c>
      <c r="D1901" s="2" t="s">
        <v>6337</v>
      </c>
      <c r="E1901" s="5" t="s">
        <v>6338</v>
      </c>
      <c r="F1901" s="3" t="s">
        <v>6339</v>
      </c>
      <c r="G1901" s="3" t="s">
        <v>4553</v>
      </c>
      <c r="H1901" s="2" t="str">
        <f>"2013"</f>
        <v>2013</v>
      </c>
      <c r="I1901" t="s">
        <v>14</v>
      </c>
      <c r="J1901" t="s">
        <v>15</v>
      </c>
    </row>
    <row r="1902" spans="1:10">
      <c r="A1902" s="2" t="str">
        <f>"1899"</f>
        <v>1899</v>
      </c>
      <c r="B1902" s="2" t="s">
        <v>9</v>
      </c>
      <c r="C1902" s="2" t="str">
        <f>"1 (1)"</f>
        <v>1 (1)</v>
      </c>
      <c r="D1902" s="2" t="s">
        <v>6340</v>
      </c>
      <c r="E1902" s="5" t="s">
        <v>6341</v>
      </c>
      <c r="F1902" s="3" t="s">
        <v>6339</v>
      </c>
      <c r="G1902" s="3" t="s">
        <v>4553</v>
      </c>
      <c r="H1902" s="2" t="str">
        <f>"2013"</f>
        <v>2013</v>
      </c>
      <c r="I1902" t="s">
        <v>14</v>
      </c>
      <c r="J1902" t="s">
        <v>15</v>
      </c>
    </row>
    <row r="1903" spans="1:10">
      <c r="A1903" s="2" t="str">
        <f>"1900"</f>
        <v>1900</v>
      </c>
      <c r="B1903" s="2" t="s">
        <v>9</v>
      </c>
      <c r="C1903" s="2" t="str">
        <f>"1 (1)"</f>
        <v>1 (1)</v>
      </c>
      <c r="D1903" s="2" t="s">
        <v>6342</v>
      </c>
      <c r="E1903" s="5" t="s">
        <v>6343</v>
      </c>
      <c r="F1903" s="3" t="s">
        <v>6344</v>
      </c>
      <c r="G1903" s="3" t="s">
        <v>6345</v>
      </c>
      <c r="H1903" s="2" t="str">
        <f>"2012"</f>
        <v>2012</v>
      </c>
      <c r="I1903" t="s">
        <v>14</v>
      </c>
      <c r="J1903" t="s">
        <v>15</v>
      </c>
    </row>
    <row r="1904" spans="1:10">
      <c r="A1904" s="2" t="str">
        <f>"1901"</f>
        <v>1901</v>
      </c>
      <c r="B1904" s="2" t="s">
        <v>9</v>
      </c>
      <c r="C1904" s="2" t="str">
        <f>"1 (1)"</f>
        <v>1 (1)</v>
      </c>
      <c r="D1904" s="2" t="s">
        <v>6346</v>
      </c>
      <c r="E1904" s="5" t="s">
        <v>6347</v>
      </c>
      <c r="F1904" s="3" t="s">
        <v>6348</v>
      </c>
      <c r="G1904" s="3" t="s">
        <v>5654</v>
      </c>
      <c r="H1904" s="2" t="str">
        <f>"2012"</f>
        <v>2012</v>
      </c>
      <c r="I1904" t="s">
        <v>14</v>
      </c>
      <c r="J1904" t="s">
        <v>15</v>
      </c>
    </row>
    <row r="1905" spans="1:10">
      <c r="A1905" s="2" t="str">
        <f>"1902"</f>
        <v>1902</v>
      </c>
      <c r="B1905" s="2" t="s">
        <v>9</v>
      </c>
      <c r="C1905" s="2" t="str">
        <f>"1 (1)"</f>
        <v>1 (1)</v>
      </c>
      <c r="D1905" s="2" t="s">
        <v>6349</v>
      </c>
      <c r="E1905" s="5" t="s">
        <v>6350</v>
      </c>
      <c r="F1905" s="3" t="s">
        <v>6351</v>
      </c>
      <c r="G1905" s="3" t="s">
        <v>6352</v>
      </c>
      <c r="H1905" s="2" t="str">
        <f>"2012"</f>
        <v>2012</v>
      </c>
      <c r="I1905" t="s">
        <v>14</v>
      </c>
      <c r="J1905" t="s">
        <v>15</v>
      </c>
    </row>
    <row r="1906" spans="1:10">
      <c r="A1906" s="2" t="str">
        <f>"1903"</f>
        <v>1903</v>
      </c>
      <c r="B1906" s="2" t="s">
        <v>9</v>
      </c>
      <c r="C1906" s="2" t="str">
        <f>"1 (1)"</f>
        <v>1 (1)</v>
      </c>
      <c r="D1906" s="2" t="s">
        <v>6353</v>
      </c>
      <c r="E1906" s="5" t="s">
        <v>6354</v>
      </c>
      <c r="F1906" s="3" t="s">
        <v>6355</v>
      </c>
      <c r="G1906" s="3" t="s">
        <v>6356</v>
      </c>
      <c r="H1906" s="2" t="str">
        <f>"2013"</f>
        <v>2013</v>
      </c>
      <c r="I1906" t="s">
        <v>14</v>
      </c>
      <c r="J1906" t="s">
        <v>15</v>
      </c>
    </row>
    <row r="1907" spans="1:10">
      <c r="A1907" s="2" t="str">
        <f>"1904"</f>
        <v>1904</v>
      </c>
      <c r="B1907" s="2" t="s">
        <v>9</v>
      </c>
      <c r="C1907" s="2" t="str">
        <f>"1 (1)"</f>
        <v>1 (1)</v>
      </c>
      <c r="D1907" s="2" t="s">
        <v>6357</v>
      </c>
      <c r="E1907" s="5" t="s">
        <v>6358</v>
      </c>
      <c r="F1907" s="3" t="s">
        <v>6359</v>
      </c>
      <c r="G1907" s="3" t="s">
        <v>3140</v>
      </c>
      <c r="H1907" s="2" t="str">
        <f>"2013"</f>
        <v>2013</v>
      </c>
      <c r="I1907" t="s">
        <v>14</v>
      </c>
      <c r="J1907" t="s">
        <v>15</v>
      </c>
    </row>
    <row r="1908" spans="1:10">
      <c r="A1908" s="2" t="str">
        <f>"1905"</f>
        <v>1905</v>
      </c>
      <c r="B1908" s="2" t="s">
        <v>9</v>
      </c>
      <c r="C1908" s="2" t="str">
        <f>"1 (1)"</f>
        <v>1 (1)</v>
      </c>
      <c r="D1908" s="2" t="s">
        <v>6360</v>
      </c>
      <c r="E1908" s="5" t="s">
        <v>6361</v>
      </c>
      <c r="F1908" s="3" t="s">
        <v>6362</v>
      </c>
      <c r="G1908" s="3" t="s">
        <v>6363</v>
      </c>
      <c r="H1908" s="2" t="str">
        <f>"2013"</f>
        <v>2013</v>
      </c>
      <c r="I1908" t="s">
        <v>14</v>
      </c>
      <c r="J1908" t="s">
        <v>15</v>
      </c>
    </row>
    <row r="1909" spans="1:10">
      <c r="A1909" s="2" t="str">
        <f>"1906"</f>
        <v>1906</v>
      </c>
      <c r="B1909" s="2" t="s">
        <v>9</v>
      </c>
      <c r="C1909" s="2" t="str">
        <f>"1 (1)"</f>
        <v>1 (1)</v>
      </c>
      <c r="D1909" s="2" t="s">
        <v>6364</v>
      </c>
      <c r="E1909" s="5" t="s">
        <v>6365</v>
      </c>
      <c r="F1909" s="3" t="s">
        <v>6277</v>
      </c>
      <c r="G1909" s="3" t="s">
        <v>6278</v>
      </c>
      <c r="H1909" s="2" t="str">
        <f>"2013"</f>
        <v>2013</v>
      </c>
      <c r="I1909" t="s">
        <v>14</v>
      </c>
      <c r="J1909" t="s">
        <v>15</v>
      </c>
    </row>
    <row r="1910" spans="1:10">
      <c r="A1910" s="2" t="str">
        <f>"1907"</f>
        <v>1907</v>
      </c>
      <c r="B1910" s="2" t="s">
        <v>9</v>
      </c>
      <c r="C1910" s="2" t="str">
        <f>"1 (1)"</f>
        <v>1 (1)</v>
      </c>
      <c r="D1910" s="2" t="s">
        <v>6366</v>
      </c>
      <c r="E1910" s="5" t="s">
        <v>6367</v>
      </c>
      <c r="F1910" s="3" t="s">
        <v>6277</v>
      </c>
      <c r="G1910" s="3" t="s">
        <v>6278</v>
      </c>
      <c r="H1910" s="2" t="str">
        <f>"2013"</f>
        <v>2013</v>
      </c>
      <c r="I1910" t="s">
        <v>14</v>
      </c>
      <c r="J1910" t="s">
        <v>15</v>
      </c>
    </row>
    <row r="1911" spans="1:10">
      <c r="A1911" s="2" t="str">
        <f>"1908"</f>
        <v>1908</v>
      </c>
      <c r="B1911" s="2" t="s">
        <v>9</v>
      </c>
      <c r="C1911" s="2" t="str">
        <f>"1 (1)"</f>
        <v>1 (1)</v>
      </c>
      <c r="D1911" s="2" t="s">
        <v>6368</v>
      </c>
      <c r="E1911" s="5" t="s">
        <v>6369</v>
      </c>
      <c r="F1911" s="3" t="s">
        <v>6370</v>
      </c>
      <c r="G1911" s="3" t="s">
        <v>5362</v>
      </c>
      <c r="H1911" s="2" t="str">
        <f>"2013"</f>
        <v>2013</v>
      </c>
      <c r="I1911" t="s">
        <v>14</v>
      </c>
      <c r="J1911" t="s">
        <v>15</v>
      </c>
    </row>
    <row r="1912" spans="1:10">
      <c r="A1912" s="2" t="str">
        <f>"1909"</f>
        <v>1909</v>
      </c>
      <c r="B1912" s="2" t="s">
        <v>9</v>
      </c>
      <c r="C1912" s="2" t="str">
        <f>"1 (1)"</f>
        <v>1 (1)</v>
      </c>
      <c r="D1912" s="2" t="s">
        <v>6371</v>
      </c>
      <c r="E1912" s="5" t="s">
        <v>6372</v>
      </c>
      <c r="F1912" s="3" t="s">
        <v>6373</v>
      </c>
      <c r="G1912" s="3" t="s">
        <v>3183</v>
      </c>
      <c r="H1912" s="2" t="str">
        <f>"2013"</f>
        <v>2013</v>
      </c>
      <c r="I1912" t="s">
        <v>14</v>
      </c>
      <c r="J1912" t="s">
        <v>15</v>
      </c>
    </row>
    <row r="1913" spans="1:10">
      <c r="A1913" s="2" t="str">
        <f>"1910"</f>
        <v>1910</v>
      </c>
      <c r="B1913" s="2" t="s">
        <v>9</v>
      </c>
      <c r="C1913" s="2" t="str">
        <f>"1 (1)"</f>
        <v>1 (1)</v>
      </c>
      <c r="D1913" s="2" t="s">
        <v>6374</v>
      </c>
      <c r="E1913" s="5" t="s">
        <v>6375</v>
      </c>
      <c r="F1913" s="3" t="s">
        <v>6376</v>
      </c>
      <c r="G1913" s="3" t="s">
        <v>6377</v>
      </c>
      <c r="H1913" s="2" t="str">
        <f>"2013"</f>
        <v>2013</v>
      </c>
      <c r="I1913" t="s">
        <v>14</v>
      </c>
      <c r="J1913" t="s">
        <v>15</v>
      </c>
    </row>
    <row r="1914" spans="1:10">
      <c r="A1914" s="2" t="str">
        <f>"1911"</f>
        <v>1911</v>
      </c>
      <c r="B1914" s="2" t="s">
        <v>9</v>
      </c>
      <c r="C1914" s="2" t="str">
        <f>"1 (1)"</f>
        <v>1 (1)</v>
      </c>
      <c r="D1914" s="2" t="s">
        <v>6378</v>
      </c>
      <c r="E1914" s="5" t="s">
        <v>6379</v>
      </c>
      <c r="F1914" s="3" t="s">
        <v>6380</v>
      </c>
      <c r="G1914" s="3" t="s">
        <v>6381</v>
      </c>
      <c r="H1914" s="2" t="str">
        <f>"2012"</f>
        <v>2012</v>
      </c>
      <c r="I1914" t="s">
        <v>14</v>
      </c>
      <c r="J1914" t="s">
        <v>15</v>
      </c>
    </row>
    <row r="1915" spans="1:10">
      <c r="A1915" s="2" t="str">
        <f>"1912"</f>
        <v>1912</v>
      </c>
      <c r="B1915" s="2" t="s">
        <v>9</v>
      </c>
      <c r="C1915" s="2" t="str">
        <f>"1 (1)"</f>
        <v>1 (1)</v>
      </c>
      <c r="D1915" s="2" t="s">
        <v>6382</v>
      </c>
      <c r="E1915" s="5" t="s">
        <v>6383</v>
      </c>
      <c r="F1915" s="3" t="s">
        <v>6384</v>
      </c>
      <c r="G1915" s="3" t="s">
        <v>6385</v>
      </c>
      <c r="H1915" s="2" t="str">
        <f>"2013"</f>
        <v>2013</v>
      </c>
      <c r="I1915" t="s">
        <v>14</v>
      </c>
      <c r="J1915" t="s">
        <v>15</v>
      </c>
    </row>
    <row r="1916" spans="1:10">
      <c r="A1916" s="2" t="str">
        <f>"1913"</f>
        <v>1913</v>
      </c>
      <c r="B1916" s="2" t="s">
        <v>9</v>
      </c>
      <c r="C1916" s="2" t="str">
        <f>"1 (1)"</f>
        <v>1 (1)</v>
      </c>
      <c r="D1916" s="2" t="s">
        <v>6386</v>
      </c>
      <c r="E1916" s="5" t="s">
        <v>6387</v>
      </c>
      <c r="F1916" s="3" t="s">
        <v>6388</v>
      </c>
      <c r="G1916" s="3" t="s">
        <v>3444</v>
      </c>
      <c r="H1916" s="2" t="str">
        <f>"2012"</f>
        <v>2012</v>
      </c>
      <c r="I1916" t="s">
        <v>14</v>
      </c>
      <c r="J1916" t="s">
        <v>15</v>
      </c>
    </row>
    <row r="1917" spans="1:10">
      <c r="A1917" s="2" t="str">
        <f>"1914"</f>
        <v>1914</v>
      </c>
      <c r="B1917" s="2" t="s">
        <v>9</v>
      </c>
      <c r="C1917" s="2" t="str">
        <f>"1 (1)"</f>
        <v>1 (1)</v>
      </c>
      <c r="D1917" s="2" t="s">
        <v>6389</v>
      </c>
      <c r="E1917" s="5" t="s">
        <v>6390</v>
      </c>
      <c r="F1917" s="3" t="s">
        <v>6391</v>
      </c>
      <c r="G1917" s="3" t="s">
        <v>5698</v>
      </c>
      <c r="H1917" s="2" t="str">
        <f>"2013"</f>
        <v>2013</v>
      </c>
      <c r="I1917" t="s">
        <v>14</v>
      </c>
      <c r="J1917" t="s">
        <v>15</v>
      </c>
    </row>
    <row r="1918" spans="1:10">
      <c r="A1918" s="2" t="str">
        <f>"1915"</f>
        <v>1915</v>
      </c>
      <c r="B1918" s="2" t="s">
        <v>9</v>
      </c>
      <c r="C1918" s="2" t="str">
        <f>"1 (1)"</f>
        <v>1 (1)</v>
      </c>
      <c r="D1918" s="2" t="s">
        <v>6392</v>
      </c>
      <c r="E1918" s="5" t="s">
        <v>6393</v>
      </c>
      <c r="F1918" s="3" t="s">
        <v>6394</v>
      </c>
      <c r="G1918" s="3" t="s">
        <v>3094</v>
      </c>
      <c r="H1918" s="2" t="str">
        <f>"2012"</f>
        <v>2012</v>
      </c>
      <c r="I1918" t="s">
        <v>14</v>
      </c>
      <c r="J1918" t="s">
        <v>15</v>
      </c>
    </row>
    <row r="1919" spans="1:10">
      <c r="A1919" s="2" t="str">
        <f>"1916"</f>
        <v>1916</v>
      </c>
      <c r="B1919" s="2" t="s">
        <v>9</v>
      </c>
      <c r="C1919" s="2" t="str">
        <f>"1 (1)"</f>
        <v>1 (1)</v>
      </c>
      <c r="D1919" s="2" t="s">
        <v>6395</v>
      </c>
      <c r="E1919" s="5" t="s">
        <v>6396</v>
      </c>
      <c r="F1919" s="3" t="s">
        <v>6397</v>
      </c>
      <c r="G1919" s="3" t="s">
        <v>4343</v>
      </c>
      <c r="H1919" s="2" t="str">
        <f>"2012"</f>
        <v>2012</v>
      </c>
      <c r="I1919" t="s">
        <v>14</v>
      </c>
      <c r="J1919" t="s">
        <v>15</v>
      </c>
    </row>
    <row r="1920" spans="1:10">
      <c r="A1920" s="2" t="str">
        <f>"1917"</f>
        <v>1917</v>
      </c>
      <c r="B1920" s="2" t="s">
        <v>9</v>
      </c>
      <c r="C1920" s="2" t="str">
        <f>"1 (1)"</f>
        <v>1 (1)</v>
      </c>
      <c r="D1920" s="2" t="s">
        <v>6398</v>
      </c>
      <c r="E1920" s="5" t="s">
        <v>6399</v>
      </c>
      <c r="F1920" s="3" t="s">
        <v>6400</v>
      </c>
      <c r="G1920" s="3" t="s">
        <v>3941</v>
      </c>
      <c r="H1920" s="2" t="str">
        <f>"2013"</f>
        <v>2013</v>
      </c>
      <c r="I1920" t="s">
        <v>14</v>
      </c>
      <c r="J1920" t="s">
        <v>15</v>
      </c>
    </row>
    <row r="1921" spans="1:10">
      <c r="A1921" s="2" t="str">
        <f>"1918"</f>
        <v>1918</v>
      </c>
      <c r="B1921" s="2" t="s">
        <v>9</v>
      </c>
      <c r="C1921" s="2" t="str">
        <f>"1 (1)"</f>
        <v>1 (1)</v>
      </c>
      <c r="D1921" s="2" t="s">
        <v>6401</v>
      </c>
      <c r="E1921" s="5" t="s">
        <v>6402</v>
      </c>
      <c r="F1921" s="3" t="s">
        <v>6403</v>
      </c>
      <c r="G1921" s="3" t="s">
        <v>6278</v>
      </c>
      <c r="H1921" s="2" t="str">
        <f>"2013"</f>
        <v>2013</v>
      </c>
      <c r="I1921" t="s">
        <v>14</v>
      </c>
      <c r="J1921" t="s">
        <v>15</v>
      </c>
    </row>
    <row r="1922" spans="1:10">
      <c r="A1922" s="2" t="str">
        <f>"1919"</f>
        <v>1919</v>
      </c>
      <c r="B1922" s="2" t="s">
        <v>9</v>
      </c>
      <c r="C1922" s="2" t="str">
        <f>"1 (1)"</f>
        <v>1 (1)</v>
      </c>
      <c r="D1922" s="2" t="s">
        <v>6404</v>
      </c>
      <c r="E1922" s="5" t="s">
        <v>6405</v>
      </c>
      <c r="F1922" s="3" t="s">
        <v>6406</v>
      </c>
      <c r="G1922" s="3" t="s">
        <v>5438</v>
      </c>
      <c r="H1922" s="2" t="str">
        <f>"2012"</f>
        <v>2012</v>
      </c>
      <c r="I1922" t="s">
        <v>14</v>
      </c>
      <c r="J1922" t="s">
        <v>15</v>
      </c>
    </row>
    <row r="1923" spans="1:10">
      <c r="A1923" s="2" t="str">
        <f>"1920"</f>
        <v>1920</v>
      </c>
      <c r="B1923" s="2" t="s">
        <v>9</v>
      </c>
      <c r="C1923" s="2" t="str">
        <f>"1 (1)"</f>
        <v>1 (1)</v>
      </c>
      <c r="D1923" s="2" t="s">
        <v>6407</v>
      </c>
      <c r="E1923" s="5" t="s">
        <v>6408</v>
      </c>
      <c r="F1923" s="3" t="s">
        <v>6409</v>
      </c>
      <c r="G1923" s="3" t="s">
        <v>443</v>
      </c>
      <c r="H1923" s="2" t="str">
        <f>"2012"</f>
        <v>2012</v>
      </c>
      <c r="I1923" t="s">
        <v>14</v>
      </c>
      <c r="J1923" t="s">
        <v>15</v>
      </c>
    </row>
    <row r="1924" spans="1:10">
      <c r="A1924" s="2" t="str">
        <f>"1921"</f>
        <v>1921</v>
      </c>
      <c r="B1924" s="2" t="s">
        <v>9</v>
      </c>
      <c r="C1924" s="2" t="str">
        <f>"1 (1)"</f>
        <v>1 (1)</v>
      </c>
      <c r="D1924" s="2" t="s">
        <v>6410</v>
      </c>
      <c r="E1924" s="5" t="s">
        <v>6411</v>
      </c>
      <c r="F1924" s="3" t="s">
        <v>6412</v>
      </c>
      <c r="G1924" s="3" t="s">
        <v>2907</v>
      </c>
      <c r="H1924" s="2" t="str">
        <f>"2012"</f>
        <v>2012</v>
      </c>
      <c r="I1924" t="s">
        <v>14</v>
      </c>
      <c r="J1924" t="s">
        <v>15</v>
      </c>
    </row>
    <row r="1925" spans="1:10">
      <c r="A1925" s="2" t="str">
        <f>"1922"</f>
        <v>1922</v>
      </c>
      <c r="B1925" s="2" t="s">
        <v>9</v>
      </c>
      <c r="C1925" s="2" t="str">
        <f>"1 (1)"</f>
        <v>1 (1)</v>
      </c>
      <c r="D1925" s="2" t="s">
        <v>6413</v>
      </c>
      <c r="E1925" s="5" t="s">
        <v>6414</v>
      </c>
      <c r="F1925" s="3" t="s">
        <v>6415</v>
      </c>
      <c r="G1925" s="3" t="s">
        <v>4903</v>
      </c>
      <c r="H1925" s="2" t="str">
        <f>"2013"</f>
        <v>2013</v>
      </c>
      <c r="I1925" t="s">
        <v>14</v>
      </c>
      <c r="J1925" t="s">
        <v>15</v>
      </c>
    </row>
    <row r="1926" spans="1:10">
      <c r="A1926" s="2" t="str">
        <f>"1923"</f>
        <v>1923</v>
      </c>
      <c r="B1926" s="2" t="s">
        <v>9</v>
      </c>
      <c r="C1926" s="2" t="str">
        <f>"1 (1)"</f>
        <v>1 (1)</v>
      </c>
      <c r="D1926" s="2" t="s">
        <v>6416</v>
      </c>
      <c r="E1926" s="5" t="s">
        <v>6417</v>
      </c>
      <c r="F1926" s="3" t="s">
        <v>6418</v>
      </c>
      <c r="G1926" s="3" t="s">
        <v>6419</v>
      </c>
      <c r="H1926" s="2" t="str">
        <f>"2013"</f>
        <v>2013</v>
      </c>
      <c r="I1926" t="s">
        <v>14</v>
      </c>
      <c r="J1926" t="s">
        <v>15</v>
      </c>
    </row>
    <row r="1927" spans="1:10">
      <c r="A1927" s="2" t="str">
        <f>"1924"</f>
        <v>1924</v>
      </c>
      <c r="B1927" s="2" t="s">
        <v>9</v>
      </c>
      <c r="C1927" s="2" t="str">
        <f>"1 (1)"</f>
        <v>1 (1)</v>
      </c>
      <c r="D1927" s="2" t="s">
        <v>6420</v>
      </c>
      <c r="E1927" s="5" t="s">
        <v>6421</v>
      </c>
      <c r="F1927" s="3" t="s">
        <v>6422</v>
      </c>
      <c r="G1927" s="3" t="s">
        <v>936</v>
      </c>
      <c r="H1927" s="2" t="str">
        <f>"2012"</f>
        <v>2012</v>
      </c>
      <c r="I1927" t="s">
        <v>14</v>
      </c>
      <c r="J1927" t="s">
        <v>15</v>
      </c>
    </row>
    <row r="1928" spans="1:10">
      <c r="A1928" s="2" t="str">
        <f>"1925"</f>
        <v>1925</v>
      </c>
      <c r="B1928" s="2" t="s">
        <v>9</v>
      </c>
      <c r="C1928" s="2" t="str">
        <f>"1 (1)"</f>
        <v>1 (1)</v>
      </c>
      <c r="D1928" s="2" t="s">
        <v>6423</v>
      </c>
      <c r="E1928" s="5" t="s">
        <v>6424</v>
      </c>
      <c r="F1928" s="3" t="s">
        <v>6425</v>
      </c>
      <c r="G1928" s="3" t="s">
        <v>6426</v>
      </c>
      <c r="H1928" s="2" t="str">
        <f>"2012"</f>
        <v>2012</v>
      </c>
      <c r="I1928" t="s">
        <v>14</v>
      </c>
      <c r="J1928" t="s">
        <v>15</v>
      </c>
    </row>
    <row r="1929" spans="1:10">
      <c r="A1929" s="2" t="str">
        <f>"1926"</f>
        <v>1926</v>
      </c>
      <c r="B1929" s="2" t="s">
        <v>9</v>
      </c>
      <c r="C1929" s="2" t="str">
        <f>"1 (1)"</f>
        <v>1 (1)</v>
      </c>
      <c r="D1929" s="2" t="s">
        <v>6427</v>
      </c>
      <c r="E1929" s="5" t="s">
        <v>6428</v>
      </c>
      <c r="F1929" s="3" t="s">
        <v>6429</v>
      </c>
      <c r="G1929" s="3" t="s">
        <v>6430</v>
      </c>
      <c r="H1929" s="2" t="str">
        <f>"2012"</f>
        <v>2012</v>
      </c>
      <c r="I1929" t="s">
        <v>14</v>
      </c>
      <c r="J1929" t="s">
        <v>15</v>
      </c>
    </row>
    <row r="1930" spans="1:10">
      <c r="A1930" s="2" t="str">
        <f>"1927"</f>
        <v>1927</v>
      </c>
      <c r="B1930" s="2" t="s">
        <v>9</v>
      </c>
      <c r="C1930" s="2" t="str">
        <f>"1 (1)"</f>
        <v>1 (1)</v>
      </c>
      <c r="D1930" s="2" t="s">
        <v>6431</v>
      </c>
      <c r="E1930" s="5" t="s">
        <v>6428</v>
      </c>
      <c r="F1930" s="3" t="s">
        <v>6429</v>
      </c>
      <c r="G1930" s="3" t="s">
        <v>6430</v>
      </c>
      <c r="H1930" s="2" t="str">
        <f>"2012"</f>
        <v>2012</v>
      </c>
      <c r="I1930" t="s">
        <v>14</v>
      </c>
      <c r="J1930" t="s">
        <v>15</v>
      </c>
    </row>
    <row r="1931" spans="1:10">
      <c r="A1931" s="2" t="str">
        <f>"1928"</f>
        <v>1928</v>
      </c>
      <c r="B1931" s="2" t="s">
        <v>9</v>
      </c>
      <c r="C1931" s="2" t="str">
        <f>"1 (1)"</f>
        <v>1 (1)</v>
      </c>
      <c r="D1931" s="2" t="s">
        <v>6432</v>
      </c>
      <c r="E1931" s="5" t="s">
        <v>6433</v>
      </c>
      <c r="F1931" s="3" t="s">
        <v>6434</v>
      </c>
      <c r="G1931" s="3" t="s">
        <v>2337</v>
      </c>
      <c r="H1931" s="2" t="str">
        <f>"2013"</f>
        <v>2013</v>
      </c>
      <c r="I1931" t="s">
        <v>14</v>
      </c>
      <c r="J1931" t="s">
        <v>15</v>
      </c>
    </row>
    <row r="1932" spans="1:10">
      <c r="A1932" s="2" t="str">
        <f>"1929"</f>
        <v>1929</v>
      </c>
      <c r="B1932" s="2" t="s">
        <v>9</v>
      </c>
      <c r="C1932" s="2" t="str">
        <f>"1 (1)"</f>
        <v>1 (1)</v>
      </c>
      <c r="D1932" s="2" t="s">
        <v>6435</v>
      </c>
      <c r="E1932" s="5" t="s">
        <v>6436</v>
      </c>
      <c r="F1932" s="3" t="s">
        <v>6437</v>
      </c>
      <c r="G1932" s="3" t="s">
        <v>6438</v>
      </c>
      <c r="H1932" s="2" t="str">
        <f>"2012"</f>
        <v>2012</v>
      </c>
      <c r="I1932" t="s">
        <v>14</v>
      </c>
      <c r="J1932" t="s">
        <v>15</v>
      </c>
    </row>
    <row r="1933" spans="1:10">
      <c r="A1933" s="2" t="str">
        <f>"1930"</f>
        <v>1930</v>
      </c>
      <c r="B1933" s="2" t="s">
        <v>9</v>
      </c>
      <c r="C1933" s="2" t="str">
        <f>"1 (1)"</f>
        <v>1 (1)</v>
      </c>
      <c r="D1933" s="2" t="s">
        <v>6439</v>
      </c>
      <c r="E1933" s="5" t="s">
        <v>6440</v>
      </c>
      <c r="F1933" s="3" t="s">
        <v>6441</v>
      </c>
      <c r="G1933" s="3" t="s">
        <v>6442</v>
      </c>
      <c r="H1933" s="2" t="str">
        <f>"2012"</f>
        <v>2012</v>
      </c>
      <c r="I1933" t="s">
        <v>14</v>
      </c>
      <c r="J1933" t="s">
        <v>15</v>
      </c>
    </row>
    <row r="1934" spans="1:10">
      <c r="A1934" s="2" t="str">
        <f>"1931"</f>
        <v>1931</v>
      </c>
      <c r="B1934" s="2" t="s">
        <v>9</v>
      </c>
      <c r="C1934" s="2" t="str">
        <f>"1 (1)"</f>
        <v>1 (1)</v>
      </c>
      <c r="D1934" s="2" t="s">
        <v>6443</v>
      </c>
      <c r="E1934" s="5" t="s">
        <v>6444</v>
      </c>
      <c r="F1934" s="3" t="s">
        <v>6445</v>
      </c>
      <c r="G1934" s="3" t="s">
        <v>6068</v>
      </c>
      <c r="H1934" s="2" t="str">
        <f>"2012"</f>
        <v>2012</v>
      </c>
      <c r="I1934" t="s">
        <v>14</v>
      </c>
      <c r="J1934" t="s">
        <v>15</v>
      </c>
    </row>
    <row r="1935" spans="1:10">
      <c r="A1935" s="2" t="str">
        <f>"1932"</f>
        <v>1932</v>
      </c>
      <c r="B1935" s="2" t="s">
        <v>9</v>
      </c>
      <c r="C1935" s="2" t="str">
        <f>"1 (1)"</f>
        <v>1 (1)</v>
      </c>
      <c r="D1935" s="2" t="s">
        <v>6446</v>
      </c>
      <c r="E1935" s="5" t="s">
        <v>6447</v>
      </c>
      <c r="F1935" s="3" t="s">
        <v>6448</v>
      </c>
      <c r="G1935" s="3" t="s">
        <v>4029</v>
      </c>
      <c r="H1935" s="2" t="str">
        <f>"2010"</f>
        <v>2010</v>
      </c>
      <c r="I1935" t="s">
        <v>14</v>
      </c>
      <c r="J1935" t="s">
        <v>15</v>
      </c>
    </row>
    <row r="1936" spans="1:10">
      <c r="A1936" s="2" t="str">
        <f>"1933"</f>
        <v>1933</v>
      </c>
      <c r="B1936" s="2" t="s">
        <v>9</v>
      </c>
      <c r="C1936" s="2" t="str">
        <f>"1 (1)"</f>
        <v>1 (1)</v>
      </c>
      <c r="D1936" s="2" t="s">
        <v>6449</v>
      </c>
      <c r="E1936" s="5" t="s">
        <v>6450</v>
      </c>
      <c r="F1936" s="3" t="s">
        <v>6451</v>
      </c>
      <c r="G1936" s="3" t="s">
        <v>6247</v>
      </c>
      <c r="H1936" s="2" t="str">
        <f>"2013"</f>
        <v>2013</v>
      </c>
      <c r="I1936" t="s">
        <v>14</v>
      </c>
      <c r="J1936" t="s">
        <v>15</v>
      </c>
    </row>
    <row r="1937" spans="1:10">
      <c r="A1937" s="2" t="str">
        <f>"1934"</f>
        <v>1934</v>
      </c>
      <c r="B1937" s="2" t="s">
        <v>9</v>
      </c>
      <c r="C1937" s="2" t="str">
        <f>"1 (1)"</f>
        <v>1 (1)</v>
      </c>
      <c r="D1937" s="2" t="s">
        <v>6452</v>
      </c>
      <c r="E1937" s="5" t="s">
        <v>6453</v>
      </c>
      <c r="F1937" s="3" t="s">
        <v>6454</v>
      </c>
      <c r="G1937" s="3" t="s">
        <v>6455</v>
      </c>
      <c r="H1937" s="2" t="str">
        <f>"2012"</f>
        <v>2012</v>
      </c>
      <c r="I1937" t="s">
        <v>14</v>
      </c>
      <c r="J1937" t="s">
        <v>15</v>
      </c>
    </row>
    <row r="1938" spans="1:10">
      <c r="A1938" s="2" t="str">
        <f>"1935"</f>
        <v>1935</v>
      </c>
      <c r="B1938" s="2" t="s">
        <v>9</v>
      </c>
      <c r="C1938" s="2" t="str">
        <f>"1 (1)"</f>
        <v>1 (1)</v>
      </c>
      <c r="D1938" s="2" t="s">
        <v>6456</v>
      </c>
      <c r="E1938" s="5" t="s">
        <v>6457</v>
      </c>
      <c r="F1938" s="3" t="s">
        <v>6458</v>
      </c>
      <c r="G1938" s="3" t="s">
        <v>3929</v>
      </c>
      <c r="H1938" s="2" t="str">
        <f>"2012"</f>
        <v>2012</v>
      </c>
      <c r="I1938" t="s">
        <v>14</v>
      </c>
      <c r="J1938" t="s">
        <v>15</v>
      </c>
    </row>
    <row r="1939" spans="1:10">
      <c r="A1939" s="2" t="str">
        <f>"1936"</f>
        <v>1936</v>
      </c>
      <c r="B1939" s="2" t="s">
        <v>9</v>
      </c>
      <c r="C1939" s="2" t="str">
        <f>"1 (1)"</f>
        <v>1 (1)</v>
      </c>
      <c r="D1939" s="2" t="s">
        <v>6459</v>
      </c>
      <c r="E1939" s="5" t="s">
        <v>6460</v>
      </c>
      <c r="F1939" s="3" t="s">
        <v>6461</v>
      </c>
      <c r="G1939" s="3" t="s">
        <v>3198</v>
      </c>
      <c r="H1939" s="2" t="str">
        <f>"2012"</f>
        <v>2012</v>
      </c>
      <c r="I1939" t="s">
        <v>14</v>
      </c>
      <c r="J1939" t="s">
        <v>15</v>
      </c>
    </row>
    <row r="1940" spans="1:10">
      <c r="A1940" s="2" t="str">
        <f>"1937"</f>
        <v>1937</v>
      </c>
      <c r="B1940" s="2" t="s">
        <v>9</v>
      </c>
      <c r="C1940" s="2" t="str">
        <f>"1 (1)"</f>
        <v>1 (1)</v>
      </c>
      <c r="D1940" s="2" t="s">
        <v>6462</v>
      </c>
      <c r="E1940" s="5" t="s">
        <v>6463</v>
      </c>
      <c r="F1940" s="3" t="s">
        <v>6464</v>
      </c>
      <c r="G1940" s="3" t="s">
        <v>6465</v>
      </c>
      <c r="H1940" s="2" t="str">
        <f>"2013"</f>
        <v>2013</v>
      </c>
      <c r="I1940" t="s">
        <v>14</v>
      </c>
      <c r="J1940" t="s">
        <v>15</v>
      </c>
    </row>
    <row r="1941" spans="1:10">
      <c r="A1941" s="2" t="str">
        <f>"1938"</f>
        <v>1938</v>
      </c>
      <c r="B1941" s="2" t="s">
        <v>9</v>
      </c>
      <c r="C1941" s="2" t="str">
        <f>"1 (1)"</f>
        <v>1 (1)</v>
      </c>
      <c r="D1941" s="2" t="s">
        <v>6466</v>
      </c>
      <c r="E1941" s="5" t="s">
        <v>6467</v>
      </c>
      <c r="F1941" s="3" t="s">
        <v>6468</v>
      </c>
      <c r="G1941" s="3" t="s">
        <v>6469</v>
      </c>
      <c r="H1941" s="2" t="str">
        <f>"2012"</f>
        <v>2012</v>
      </c>
      <c r="I1941" t="s">
        <v>14</v>
      </c>
      <c r="J1941" t="s">
        <v>15</v>
      </c>
    </row>
    <row r="1942" spans="1:10">
      <c r="A1942" s="2" t="str">
        <f>"1939"</f>
        <v>1939</v>
      </c>
      <c r="B1942" s="2" t="s">
        <v>9</v>
      </c>
      <c r="C1942" s="2" t="str">
        <f>"1 (1)"</f>
        <v>1 (1)</v>
      </c>
      <c r="D1942" s="2" t="s">
        <v>6470</v>
      </c>
      <c r="E1942" s="5" t="s">
        <v>6471</v>
      </c>
      <c r="F1942" s="3" t="s">
        <v>6472</v>
      </c>
      <c r="G1942" s="3" t="s">
        <v>2270</v>
      </c>
      <c r="H1942" s="2" t="str">
        <f>"2012"</f>
        <v>2012</v>
      </c>
      <c r="I1942" t="s">
        <v>14</v>
      </c>
      <c r="J1942" t="s">
        <v>15</v>
      </c>
    </row>
    <row r="1943" spans="1:10">
      <c r="A1943" s="2" t="str">
        <f>"1940"</f>
        <v>1940</v>
      </c>
      <c r="B1943" s="2" t="s">
        <v>9</v>
      </c>
      <c r="C1943" s="2" t="str">
        <f>"1 (1)"</f>
        <v>1 (1)</v>
      </c>
      <c r="D1943" s="2" t="s">
        <v>6473</v>
      </c>
      <c r="E1943" s="5" t="s">
        <v>6474</v>
      </c>
      <c r="F1943" s="3" t="s">
        <v>6475</v>
      </c>
      <c r="G1943" s="3" t="s">
        <v>2541</v>
      </c>
      <c r="H1943" s="2" t="str">
        <f>"2013"</f>
        <v>2013</v>
      </c>
      <c r="I1943" t="s">
        <v>14</v>
      </c>
      <c r="J1943" t="s">
        <v>15</v>
      </c>
    </row>
    <row r="1944" spans="1:10">
      <c r="A1944" s="2" t="str">
        <f>"1941"</f>
        <v>1941</v>
      </c>
      <c r="B1944" s="2" t="s">
        <v>9</v>
      </c>
      <c r="C1944" s="2" t="str">
        <f>"1 (1)"</f>
        <v>1 (1)</v>
      </c>
      <c r="D1944" s="2" t="s">
        <v>6476</v>
      </c>
      <c r="E1944" s="5" t="s">
        <v>6477</v>
      </c>
      <c r="F1944" s="3" t="s">
        <v>6478</v>
      </c>
      <c r="G1944" s="3" t="s">
        <v>6479</v>
      </c>
      <c r="H1944" s="2" t="str">
        <f>"2013"</f>
        <v>2013</v>
      </c>
      <c r="I1944" t="s">
        <v>14</v>
      </c>
      <c r="J1944" t="s">
        <v>15</v>
      </c>
    </row>
    <row r="1945" spans="1:10">
      <c r="A1945" s="2" t="str">
        <f>"1942"</f>
        <v>1942</v>
      </c>
      <c r="B1945" s="2" t="s">
        <v>9</v>
      </c>
      <c r="C1945" s="2" t="str">
        <f>"1 (1)"</f>
        <v>1 (1)</v>
      </c>
      <c r="D1945" s="2" t="s">
        <v>6480</v>
      </c>
      <c r="E1945" s="5" t="s">
        <v>6481</v>
      </c>
      <c r="F1945" s="3" t="s">
        <v>6482</v>
      </c>
      <c r="G1945" s="3" t="s">
        <v>6483</v>
      </c>
      <c r="H1945" s="2" t="str">
        <f>"2012"</f>
        <v>2012</v>
      </c>
      <c r="I1945" t="s">
        <v>14</v>
      </c>
      <c r="J1945" t="s">
        <v>15</v>
      </c>
    </row>
    <row r="1946" spans="1:10">
      <c r="A1946" s="2" t="str">
        <f>"1943"</f>
        <v>1943</v>
      </c>
      <c r="B1946" s="2" t="s">
        <v>9</v>
      </c>
      <c r="C1946" s="2" t="str">
        <f>"1 (1)"</f>
        <v>1 (1)</v>
      </c>
      <c r="D1946" s="2" t="s">
        <v>6484</v>
      </c>
      <c r="E1946" s="5" t="s">
        <v>6485</v>
      </c>
      <c r="F1946" s="3" t="s">
        <v>6486</v>
      </c>
      <c r="G1946" s="3" t="s">
        <v>6487</v>
      </c>
      <c r="H1946" s="2" t="str">
        <f>"2013"</f>
        <v>2013</v>
      </c>
      <c r="I1946" t="s">
        <v>14</v>
      </c>
      <c r="J1946" t="s">
        <v>15</v>
      </c>
    </row>
    <row r="1947" spans="1:10">
      <c r="A1947" s="2" t="str">
        <f>"1944"</f>
        <v>1944</v>
      </c>
      <c r="B1947" s="2" t="s">
        <v>9</v>
      </c>
      <c r="C1947" s="2" t="str">
        <f>"1 (1)"</f>
        <v>1 (1)</v>
      </c>
      <c r="D1947" s="2" t="s">
        <v>6488</v>
      </c>
      <c r="E1947" s="5" t="s">
        <v>6489</v>
      </c>
      <c r="F1947" s="3" t="s">
        <v>6490</v>
      </c>
      <c r="G1947" s="3" t="s">
        <v>6491</v>
      </c>
      <c r="H1947" s="2" t="str">
        <f>"2013"</f>
        <v>2013</v>
      </c>
      <c r="I1947" t="s">
        <v>14</v>
      </c>
      <c r="J1947" t="s">
        <v>15</v>
      </c>
    </row>
    <row r="1948" spans="1:10">
      <c r="A1948" s="2" t="str">
        <f>"1945"</f>
        <v>1945</v>
      </c>
      <c r="B1948" s="2" t="s">
        <v>9</v>
      </c>
      <c r="C1948" s="2" t="str">
        <f>"1 (1)"</f>
        <v>1 (1)</v>
      </c>
      <c r="D1948" s="2" t="s">
        <v>6492</v>
      </c>
      <c r="E1948" s="5" t="s">
        <v>6493</v>
      </c>
      <c r="F1948" s="3" t="s">
        <v>6494</v>
      </c>
      <c r="G1948" s="3" t="s">
        <v>6495</v>
      </c>
      <c r="H1948" s="2" t="str">
        <f>"2013"</f>
        <v>2013</v>
      </c>
      <c r="I1948" t="s">
        <v>14</v>
      </c>
      <c r="J1948" t="s">
        <v>15</v>
      </c>
    </row>
    <row r="1949" spans="1:10">
      <c r="A1949" s="2" t="str">
        <f>"1946"</f>
        <v>1946</v>
      </c>
      <c r="B1949" s="2" t="s">
        <v>9</v>
      </c>
      <c r="C1949" s="2" t="str">
        <f>"1 (1)"</f>
        <v>1 (1)</v>
      </c>
      <c r="D1949" s="2" t="s">
        <v>6496</v>
      </c>
      <c r="E1949" s="5" t="s">
        <v>6497</v>
      </c>
      <c r="F1949" s="3" t="s">
        <v>6498</v>
      </c>
      <c r="G1949" s="3" t="s">
        <v>509</v>
      </c>
      <c r="H1949" s="2" t="str">
        <f>"2013"</f>
        <v>2013</v>
      </c>
      <c r="I1949" t="s">
        <v>14</v>
      </c>
      <c r="J1949" t="s">
        <v>15</v>
      </c>
    </row>
    <row r="1950" spans="1:10">
      <c r="A1950" s="2" t="str">
        <f>"1947"</f>
        <v>1947</v>
      </c>
      <c r="B1950" s="2" t="s">
        <v>9</v>
      </c>
      <c r="C1950" s="2" t="str">
        <f>"1 (1)"</f>
        <v>1 (1)</v>
      </c>
      <c r="D1950" s="2" t="s">
        <v>6499</v>
      </c>
      <c r="E1950" s="5" t="s">
        <v>6500</v>
      </c>
      <c r="F1950" s="3" t="s">
        <v>6501</v>
      </c>
      <c r="G1950" s="3" t="s">
        <v>6502</v>
      </c>
      <c r="H1950" s="2" t="str">
        <f>"2012"</f>
        <v>2012</v>
      </c>
      <c r="I1950" t="s">
        <v>14</v>
      </c>
      <c r="J1950" t="s">
        <v>15</v>
      </c>
    </row>
    <row r="1951" spans="1:10">
      <c r="A1951" s="2" t="str">
        <f>"1948"</f>
        <v>1948</v>
      </c>
      <c r="B1951" s="2" t="s">
        <v>9</v>
      </c>
      <c r="C1951" s="2" t="str">
        <f>"1 (1)"</f>
        <v>1 (1)</v>
      </c>
      <c r="D1951" s="2" t="s">
        <v>6503</v>
      </c>
      <c r="E1951" s="5" t="s">
        <v>6504</v>
      </c>
      <c r="F1951" s="3" t="s">
        <v>6501</v>
      </c>
      <c r="G1951" s="3" t="s">
        <v>6505</v>
      </c>
      <c r="H1951" s="2" t="str">
        <f>"2013"</f>
        <v>2013</v>
      </c>
      <c r="I1951" t="s">
        <v>14</v>
      </c>
      <c r="J1951" t="s">
        <v>15</v>
      </c>
    </row>
    <row r="1952" spans="1:10">
      <c r="A1952" s="2" t="str">
        <f>"1949"</f>
        <v>1949</v>
      </c>
      <c r="B1952" s="2" t="s">
        <v>9</v>
      </c>
      <c r="C1952" s="2" t="str">
        <f>"1 (1)"</f>
        <v>1 (1)</v>
      </c>
      <c r="D1952" s="2" t="s">
        <v>6506</v>
      </c>
      <c r="E1952" s="5" t="s">
        <v>6507</v>
      </c>
      <c r="F1952" s="3" t="s">
        <v>6508</v>
      </c>
      <c r="G1952" s="3" t="s">
        <v>6509</v>
      </c>
      <c r="H1952" s="2" t="str">
        <f>"2012"</f>
        <v>2012</v>
      </c>
      <c r="I1952" t="s">
        <v>14</v>
      </c>
      <c r="J1952" t="s">
        <v>15</v>
      </c>
    </row>
    <row r="1953" spans="1:10">
      <c r="A1953" s="2" t="str">
        <f>"1950"</f>
        <v>1950</v>
      </c>
      <c r="B1953" s="2" t="s">
        <v>9</v>
      </c>
      <c r="C1953" s="2" t="str">
        <f>"1 (1)"</f>
        <v>1 (1)</v>
      </c>
      <c r="D1953" s="2" t="s">
        <v>6510</v>
      </c>
      <c r="E1953" s="5" t="str">
        <f>"10대와 통하는 윤리학"</f>
        <v>10대와 통하는 윤리학</v>
      </c>
      <c r="F1953" s="3" t="s">
        <v>6511</v>
      </c>
      <c r="G1953" s="3" t="s">
        <v>4060</v>
      </c>
      <c r="H1953" s="2" t="str">
        <f>"2012"</f>
        <v>2012</v>
      </c>
      <c r="I1953" t="s">
        <v>14</v>
      </c>
      <c r="J1953" t="s">
        <v>15</v>
      </c>
    </row>
    <row r="1954" spans="1:10">
      <c r="A1954" s="2" t="str">
        <f>"1951"</f>
        <v>1951</v>
      </c>
      <c r="B1954" s="2" t="s">
        <v>9</v>
      </c>
      <c r="C1954" s="2" t="str">
        <f>"1 (1)"</f>
        <v>1 (1)</v>
      </c>
      <c r="D1954" s="2" t="s">
        <v>6512</v>
      </c>
      <c r="E1954" s="5" t="s">
        <v>6513</v>
      </c>
      <c r="F1954" s="3" t="s">
        <v>6514</v>
      </c>
      <c r="G1954" s="3" t="s">
        <v>279</v>
      </c>
      <c r="H1954" s="2" t="str">
        <f>"2012"</f>
        <v>2012</v>
      </c>
      <c r="I1954" t="s">
        <v>14</v>
      </c>
      <c r="J1954" t="s">
        <v>15</v>
      </c>
    </row>
    <row r="1955" spans="1:10">
      <c r="A1955" s="2" t="str">
        <f>"1952"</f>
        <v>1952</v>
      </c>
      <c r="B1955" s="2" t="s">
        <v>9</v>
      </c>
      <c r="C1955" s="2" t="str">
        <f>"1 (1)"</f>
        <v>1 (1)</v>
      </c>
      <c r="D1955" s="2" t="s">
        <v>6515</v>
      </c>
      <c r="E1955" s="5" t="s">
        <v>6516</v>
      </c>
      <c r="F1955" s="3" t="s">
        <v>6517</v>
      </c>
      <c r="G1955" s="3" t="s">
        <v>6518</v>
      </c>
      <c r="H1955" s="2" t="str">
        <f>"2012"</f>
        <v>2012</v>
      </c>
      <c r="I1955" t="s">
        <v>14</v>
      </c>
      <c r="J1955" t="s">
        <v>15</v>
      </c>
    </row>
    <row r="1956" spans="1:10">
      <c r="A1956" s="2" t="str">
        <f>"1953"</f>
        <v>1953</v>
      </c>
      <c r="B1956" s="2" t="s">
        <v>9</v>
      </c>
      <c r="C1956" s="2" t="str">
        <f>"1 (1)"</f>
        <v>1 (1)</v>
      </c>
      <c r="D1956" s="2" t="s">
        <v>6519</v>
      </c>
      <c r="E1956" s="5" t="s">
        <v>6520</v>
      </c>
      <c r="F1956" s="3" t="s">
        <v>6521</v>
      </c>
      <c r="G1956" s="3" t="s">
        <v>4614</v>
      </c>
      <c r="H1956" s="2" t="str">
        <f>"2013"</f>
        <v>2013</v>
      </c>
      <c r="I1956" t="s">
        <v>14</v>
      </c>
      <c r="J1956" t="s">
        <v>15</v>
      </c>
    </row>
    <row r="1957" spans="1:10">
      <c r="A1957" s="2" t="str">
        <f>"1954"</f>
        <v>1954</v>
      </c>
      <c r="B1957" s="2" t="s">
        <v>9</v>
      </c>
      <c r="C1957" s="2" t="str">
        <f>"1 (1)"</f>
        <v>1 (1)</v>
      </c>
      <c r="D1957" s="2" t="s">
        <v>6522</v>
      </c>
      <c r="E1957" s="5" t="s">
        <v>6523</v>
      </c>
      <c r="F1957" s="3" t="s">
        <v>6524</v>
      </c>
      <c r="G1957" s="3" t="s">
        <v>6525</v>
      </c>
      <c r="H1957" s="2" t="str">
        <f>"2012"</f>
        <v>2012</v>
      </c>
      <c r="I1957" t="s">
        <v>14</v>
      </c>
      <c r="J1957" t="s">
        <v>15</v>
      </c>
    </row>
    <row r="1958" spans="1:10">
      <c r="A1958" s="2" t="str">
        <f>"1955"</f>
        <v>1955</v>
      </c>
      <c r="B1958" s="2" t="s">
        <v>9</v>
      </c>
      <c r="C1958" s="2" t="str">
        <f>"1 (1)"</f>
        <v>1 (1)</v>
      </c>
      <c r="D1958" s="2" t="s">
        <v>6526</v>
      </c>
      <c r="E1958" s="5" t="s">
        <v>6527</v>
      </c>
      <c r="F1958" s="3" t="s">
        <v>6528</v>
      </c>
      <c r="G1958" s="3" t="s">
        <v>6529</v>
      </c>
      <c r="H1958" s="2" t="str">
        <f>"2012"</f>
        <v>2012</v>
      </c>
      <c r="I1958" t="s">
        <v>14</v>
      </c>
      <c r="J1958" t="s">
        <v>15</v>
      </c>
    </row>
    <row r="1959" spans="1:10">
      <c r="A1959" s="2" t="str">
        <f>"1956"</f>
        <v>1956</v>
      </c>
      <c r="B1959" s="2" t="s">
        <v>9</v>
      </c>
      <c r="C1959" s="2" t="str">
        <f>"1 (1)"</f>
        <v>1 (1)</v>
      </c>
      <c r="D1959" s="2" t="s">
        <v>6530</v>
      </c>
      <c r="E1959" s="5" t="s">
        <v>6531</v>
      </c>
      <c r="F1959" s="3" t="s">
        <v>6532</v>
      </c>
      <c r="G1959" s="3" t="s">
        <v>443</v>
      </c>
      <c r="H1959" s="2" t="str">
        <f>"2013"</f>
        <v>2013</v>
      </c>
      <c r="I1959" t="s">
        <v>14</v>
      </c>
      <c r="J1959" t="s">
        <v>15</v>
      </c>
    </row>
    <row r="1960" spans="1:10">
      <c r="A1960" s="2" t="str">
        <f>"1957"</f>
        <v>1957</v>
      </c>
      <c r="B1960" s="2" t="s">
        <v>9</v>
      </c>
      <c r="C1960" s="2" t="str">
        <f>"1 (1)"</f>
        <v>1 (1)</v>
      </c>
      <c r="D1960" s="2" t="s">
        <v>6533</v>
      </c>
      <c r="E1960" s="5" t="s">
        <v>6534</v>
      </c>
      <c r="F1960" s="3" t="s">
        <v>6535</v>
      </c>
      <c r="G1960" s="3" t="s">
        <v>6529</v>
      </c>
      <c r="H1960" s="2" t="str">
        <f>"2012"</f>
        <v>2012</v>
      </c>
      <c r="I1960" t="s">
        <v>14</v>
      </c>
      <c r="J1960" t="s">
        <v>15</v>
      </c>
    </row>
    <row r="1961" spans="1:10">
      <c r="A1961" s="2" t="str">
        <f>"1958"</f>
        <v>1958</v>
      </c>
      <c r="B1961" s="2" t="s">
        <v>9</v>
      </c>
      <c r="C1961" s="2" t="str">
        <f>"1 (1)"</f>
        <v>1 (1)</v>
      </c>
      <c r="D1961" s="2" t="s">
        <v>6536</v>
      </c>
      <c r="E1961" s="5" t="s">
        <v>6537</v>
      </c>
      <c r="F1961" s="3" t="s">
        <v>6538</v>
      </c>
      <c r="G1961" s="3" t="s">
        <v>6539</v>
      </c>
      <c r="H1961" s="2" t="str">
        <f>"2012"</f>
        <v>2012</v>
      </c>
      <c r="I1961" t="s">
        <v>14</v>
      </c>
      <c r="J1961" t="s">
        <v>15</v>
      </c>
    </row>
    <row r="1962" spans="1:10">
      <c r="A1962" s="2" t="str">
        <f>"1959"</f>
        <v>1959</v>
      </c>
      <c r="B1962" s="2" t="s">
        <v>9</v>
      </c>
      <c r="C1962" s="2" t="str">
        <f>"1 (1)"</f>
        <v>1 (1)</v>
      </c>
      <c r="D1962" s="2" t="s">
        <v>6540</v>
      </c>
      <c r="E1962" s="5" t="s">
        <v>6541</v>
      </c>
      <c r="F1962" s="3" t="s">
        <v>6542</v>
      </c>
      <c r="G1962" s="3" t="s">
        <v>6529</v>
      </c>
      <c r="H1962" s="2" t="str">
        <f>"2012"</f>
        <v>2012</v>
      </c>
      <c r="I1962" t="s">
        <v>14</v>
      </c>
      <c r="J1962" t="s">
        <v>15</v>
      </c>
    </row>
    <row r="1963" spans="1:10">
      <c r="A1963" s="2" t="str">
        <f>"1960"</f>
        <v>1960</v>
      </c>
      <c r="B1963" s="2" t="s">
        <v>9</v>
      </c>
      <c r="C1963" s="2" t="str">
        <f>"1 (1)"</f>
        <v>1 (1)</v>
      </c>
      <c r="D1963" s="2" t="s">
        <v>6543</v>
      </c>
      <c r="E1963" s="5" t="s">
        <v>6544</v>
      </c>
      <c r="F1963" s="3" t="s">
        <v>6545</v>
      </c>
      <c r="G1963" s="3" t="s">
        <v>6546</v>
      </c>
      <c r="H1963" s="2" t="str">
        <f>"2008"</f>
        <v>2008</v>
      </c>
      <c r="I1963" t="s">
        <v>14</v>
      </c>
      <c r="J1963" t="s">
        <v>15</v>
      </c>
    </row>
    <row r="1964" spans="1:10">
      <c r="A1964" s="2" t="str">
        <f>"1961"</f>
        <v>1961</v>
      </c>
      <c r="B1964" s="2" t="s">
        <v>9</v>
      </c>
      <c r="C1964" s="2" t="str">
        <f>"1 (1)"</f>
        <v>1 (1)</v>
      </c>
      <c r="D1964" s="2" t="s">
        <v>6547</v>
      </c>
      <c r="E1964" s="5" t="s">
        <v>6548</v>
      </c>
      <c r="F1964" s="3" t="s">
        <v>6549</v>
      </c>
      <c r="G1964" s="3" t="s">
        <v>6550</v>
      </c>
      <c r="H1964" s="2" t="str">
        <f>"2012"</f>
        <v>2012</v>
      </c>
      <c r="I1964" t="s">
        <v>14</v>
      </c>
      <c r="J1964" t="s">
        <v>15</v>
      </c>
    </row>
    <row r="1965" spans="1:10">
      <c r="A1965" s="2" t="str">
        <f>"1962"</f>
        <v>1962</v>
      </c>
      <c r="B1965" s="2" t="s">
        <v>9</v>
      </c>
      <c r="C1965" s="2" t="str">
        <f>"1 (1)"</f>
        <v>1 (1)</v>
      </c>
      <c r="D1965" s="2" t="s">
        <v>6551</v>
      </c>
      <c r="E1965" s="5" t="s">
        <v>6552</v>
      </c>
      <c r="F1965" s="3" t="s">
        <v>6553</v>
      </c>
      <c r="G1965" s="3" t="s">
        <v>6554</v>
      </c>
      <c r="H1965" s="2" t="str">
        <f>"2013"</f>
        <v>2013</v>
      </c>
      <c r="I1965" t="s">
        <v>14</v>
      </c>
      <c r="J1965" t="s">
        <v>15</v>
      </c>
    </row>
    <row r="1966" spans="1:10">
      <c r="A1966" s="2" t="str">
        <f>"1963"</f>
        <v>1963</v>
      </c>
      <c r="B1966" s="2" t="s">
        <v>9</v>
      </c>
      <c r="C1966" s="2" t="str">
        <f>"1 (1)"</f>
        <v>1 (1)</v>
      </c>
      <c r="D1966" s="2" t="s">
        <v>6555</v>
      </c>
      <c r="E1966" s="5" t="s">
        <v>6556</v>
      </c>
      <c r="F1966" s="3" t="s">
        <v>6557</v>
      </c>
      <c r="G1966" s="3" t="s">
        <v>3697</v>
      </c>
      <c r="H1966" s="2" t="str">
        <f>"2012"</f>
        <v>2012</v>
      </c>
      <c r="I1966" t="s">
        <v>14</v>
      </c>
      <c r="J1966" t="s">
        <v>15</v>
      </c>
    </row>
    <row r="1967" spans="1:10">
      <c r="A1967" s="2" t="str">
        <f>"1964"</f>
        <v>1964</v>
      </c>
      <c r="B1967" s="2" t="s">
        <v>9</v>
      </c>
      <c r="C1967" s="2" t="str">
        <f>"1 (1)"</f>
        <v>1 (1)</v>
      </c>
      <c r="D1967" s="2" t="s">
        <v>6558</v>
      </c>
      <c r="E1967" s="5" t="s">
        <v>6559</v>
      </c>
      <c r="F1967" s="3" t="s">
        <v>6560</v>
      </c>
      <c r="G1967" s="3" t="s">
        <v>3633</v>
      </c>
      <c r="H1967" s="2" t="str">
        <f>"2013"</f>
        <v>2013</v>
      </c>
      <c r="I1967" t="s">
        <v>14</v>
      </c>
      <c r="J1967" t="s">
        <v>15</v>
      </c>
    </row>
    <row r="1968" spans="1:10">
      <c r="A1968" s="2" t="str">
        <f>"1965"</f>
        <v>1965</v>
      </c>
      <c r="B1968" s="2" t="s">
        <v>9</v>
      </c>
      <c r="C1968" s="2" t="str">
        <f>"1 (1)"</f>
        <v>1 (1)</v>
      </c>
      <c r="D1968" s="2" t="s">
        <v>6561</v>
      </c>
      <c r="E1968" s="5" t="s">
        <v>6562</v>
      </c>
      <c r="F1968" s="3" t="s">
        <v>6563</v>
      </c>
      <c r="G1968" s="3" t="s">
        <v>6564</v>
      </c>
      <c r="H1968" s="2" t="str">
        <f>"2012"</f>
        <v>2012</v>
      </c>
      <c r="I1968" t="s">
        <v>14</v>
      </c>
      <c r="J1968" t="s">
        <v>15</v>
      </c>
    </row>
    <row r="1969" spans="1:10">
      <c r="A1969" s="2" t="str">
        <f>"1966"</f>
        <v>1966</v>
      </c>
      <c r="B1969" s="2" t="s">
        <v>9</v>
      </c>
      <c r="C1969" s="2" t="str">
        <f>"1 (1)"</f>
        <v>1 (1)</v>
      </c>
      <c r="D1969" s="2" t="s">
        <v>6565</v>
      </c>
      <c r="E1969" s="5" t="s">
        <v>6566</v>
      </c>
      <c r="F1969" s="3" t="s">
        <v>6567</v>
      </c>
      <c r="G1969" s="3" t="s">
        <v>659</v>
      </c>
      <c r="H1969" s="2" t="str">
        <f>"2012"</f>
        <v>2012</v>
      </c>
      <c r="I1969" t="s">
        <v>14</v>
      </c>
      <c r="J1969" t="s">
        <v>15</v>
      </c>
    </row>
    <row r="1970" spans="1:10">
      <c r="A1970" s="2" t="str">
        <f>"1967"</f>
        <v>1967</v>
      </c>
      <c r="B1970" s="2" t="s">
        <v>9</v>
      </c>
      <c r="C1970" s="2" t="str">
        <f>"1 (1)"</f>
        <v>1 (1)</v>
      </c>
      <c r="D1970" s="2" t="s">
        <v>6568</v>
      </c>
      <c r="E1970" s="5" t="s">
        <v>6569</v>
      </c>
      <c r="F1970" s="3" t="s">
        <v>6570</v>
      </c>
      <c r="G1970" s="3" t="s">
        <v>3666</v>
      </c>
      <c r="H1970" s="2" t="str">
        <f>"2012"</f>
        <v>2012</v>
      </c>
      <c r="I1970" t="s">
        <v>14</v>
      </c>
      <c r="J1970" t="s">
        <v>15</v>
      </c>
    </row>
    <row r="1971" spans="1:10">
      <c r="A1971" s="2" t="str">
        <f>"1968"</f>
        <v>1968</v>
      </c>
      <c r="B1971" s="2" t="s">
        <v>9</v>
      </c>
      <c r="C1971" s="2" t="str">
        <f>"1 (1)"</f>
        <v>1 (1)</v>
      </c>
      <c r="D1971" s="2" t="s">
        <v>6571</v>
      </c>
      <c r="E1971" s="5" t="s">
        <v>6572</v>
      </c>
      <c r="F1971" s="3" t="s">
        <v>6573</v>
      </c>
      <c r="G1971" s="3" t="s">
        <v>6574</v>
      </c>
      <c r="H1971" s="2" t="str">
        <f>"2012"</f>
        <v>2012</v>
      </c>
      <c r="I1971" t="s">
        <v>14</v>
      </c>
      <c r="J1971" t="s">
        <v>15</v>
      </c>
    </row>
    <row r="1972" spans="1:10">
      <c r="A1972" s="2" t="str">
        <f>"1969"</f>
        <v>1969</v>
      </c>
      <c r="B1972" s="2" t="s">
        <v>9</v>
      </c>
      <c r="C1972" s="2" t="str">
        <f>"1 (1)"</f>
        <v>1 (1)</v>
      </c>
      <c r="D1972" s="2" t="s">
        <v>6575</v>
      </c>
      <c r="E1972" s="5" t="s">
        <v>6576</v>
      </c>
      <c r="F1972" s="3" t="s">
        <v>6577</v>
      </c>
      <c r="G1972" s="3" t="s">
        <v>6578</v>
      </c>
      <c r="H1972" s="2" t="str">
        <f>"2013"</f>
        <v>2013</v>
      </c>
      <c r="I1972" t="s">
        <v>14</v>
      </c>
      <c r="J1972" t="s">
        <v>15</v>
      </c>
    </row>
    <row r="1973" spans="1:10">
      <c r="A1973" s="2" t="str">
        <f>"1970"</f>
        <v>1970</v>
      </c>
      <c r="B1973" s="2" t="s">
        <v>9</v>
      </c>
      <c r="C1973" s="2" t="str">
        <f>"1 (1)"</f>
        <v>1 (1)</v>
      </c>
      <c r="D1973" s="2" t="s">
        <v>6579</v>
      </c>
      <c r="E1973" s="5" t="str">
        <f>"1학년이 되었어요 : 사진과 그림으로 만나는 1학년 교실 이야기"</f>
        <v>1학년이 되었어요 : 사진과 그림으로 만나는 1학년 교실 이야기</v>
      </c>
      <c r="F1973" s="3" t="s">
        <v>6580</v>
      </c>
      <c r="G1973" s="3" t="s">
        <v>1758</v>
      </c>
      <c r="H1973" s="2" t="str">
        <f>"2013"</f>
        <v>2013</v>
      </c>
      <c r="I1973" t="s">
        <v>14</v>
      </c>
      <c r="J1973" t="s">
        <v>15</v>
      </c>
    </row>
    <row r="1974" spans="1:10">
      <c r="A1974" s="2" t="str">
        <f>"1971"</f>
        <v>1971</v>
      </c>
      <c r="B1974" s="2" t="s">
        <v>9</v>
      </c>
      <c r="C1974" s="2" t="str">
        <f>"1 (1)"</f>
        <v>1 (1)</v>
      </c>
      <c r="D1974" s="2" t="s">
        <v>6581</v>
      </c>
      <c r="E1974" s="5" t="s">
        <v>6582</v>
      </c>
      <c r="F1974" s="3" t="s">
        <v>6583</v>
      </c>
      <c r="G1974" s="3" t="s">
        <v>6584</v>
      </c>
      <c r="H1974" s="2" t="str">
        <f>"2013"</f>
        <v>2013</v>
      </c>
      <c r="I1974" t="s">
        <v>14</v>
      </c>
      <c r="J1974" t="s">
        <v>15</v>
      </c>
    </row>
    <row r="1975" spans="1:10">
      <c r="A1975" s="2" t="str">
        <f>"1972"</f>
        <v>1972</v>
      </c>
      <c r="B1975" s="2" t="s">
        <v>9</v>
      </c>
      <c r="C1975" s="2" t="str">
        <f>"1 (1)"</f>
        <v>1 (1)</v>
      </c>
      <c r="D1975" s="2" t="s">
        <v>6585</v>
      </c>
      <c r="E1975" s="5" t="s">
        <v>6586</v>
      </c>
      <c r="F1975" s="3" t="s">
        <v>6587</v>
      </c>
      <c r="G1975" s="3" t="s">
        <v>6588</v>
      </c>
      <c r="H1975" s="2" t="str">
        <f>"2010"</f>
        <v>2010</v>
      </c>
      <c r="I1975" t="s">
        <v>14</v>
      </c>
      <c r="J1975" t="s">
        <v>15</v>
      </c>
    </row>
    <row r="1976" spans="1:10">
      <c r="A1976" s="2" t="str">
        <f>"1973"</f>
        <v>1973</v>
      </c>
      <c r="B1976" s="2" t="s">
        <v>9</v>
      </c>
      <c r="C1976" s="2" t="str">
        <f>"1 (1)"</f>
        <v>1 (1)</v>
      </c>
      <c r="D1976" s="2" t="s">
        <v>6589</v>
      </c>
      <c r="E1976" s="5" t="s">
        <v>6590</v>
      </c>
      <c r="F1976" s="3" t="s">
        <v>6591</v>
      </c>
      <c r="G1976" s="3" t="s">
        <v>6592</v>
      </c>
      <c r="H1976" s="2" t="str">
        <f>"2013"</f>
        <v>2013</v>
      </c>
      <c r="I1976" t="s">
        <v>14</v>
      </c>
      <c r="J1976" t="s">
        <v>15</v>
      </c>
    </row>
    <row r="1977" spans="1:10">
      <c r="A1977" s="2" t="str">
        <f>"1974"</f>
        <v>1974</v>
      </c>
      <c r="B1977" s="2" t="s">
        <v>9</v>
      </c>
      <c r="C1977" s="2" t="str">
        <f>"1 (1)"</f>
        <v>1 (1)</v>
      </c>
      <c r="D1977" s="2" t="s">
        <v>6593</v>
      </c>
      <c r="E1977" s="5" t="s">
        <v>6594</v>
      </c>
      <c r="F1977" s="3" t="s">
        <v>6595</v>
      </c>
      <c r="G1977" s="3" t="s">
        <v>513</v>
      </c>
      <c r="H1977" s="2" t="str">
        <f>"2013"</f>
        <v>2013</v>
      </c>
      <c r="I1977" t="s">
        <v>14</v>
      </c>
      <c r="J1977" t="s">
        <v>15</v>
      </c>
    </row>
    <row r="1978" spans="1:10">
      <c r="A1978" s="2" t="str">
        <f>"1975"</f>
        <v>1975</v>
      </c>
      <c r="B1978" s="2" t="s">
        <v>9</v>
      </c>
      <c r="C1978" s="2" t="str">
        <f>"1 (1)"</f>
        <v>1 (1)</v>
      </c>
      <c r="D1978" s="2" t="s">
        <v>6596</v>
      </c>
      <c r="E1978" s="5" t="s">
        <v>6597</v>
      </c>
      <c r="F1978" s="3" t="s">
        <v>6598</v>
      </c>
      <c r="G1978" s="3" t="s">
        <v>6599</v>
      </c>
      <c r="H1978" s="2" t="str">
        <f>"2012"</f>
        <v>2012</v>
      </c>
      <c r="I1978" t="s">
        <v>14</v>
      </c>
      <c r="J1978" t="s">
        <v>15</v>
      </c>
    </row>
    <row r="1979" spans="1:10">
      <c r="A1979" s="2" t="str">
        <f>"1976"</f>
        <v>1976</v>
      </c>
      <c r="B1979" s="2" t="s">
        <v>9</v>
      </c>
      <c r="C1979" s="2" t="str">
        <f>"1 (1)"</f>
        <v>1 (1)</v>
      </c>
      <c r="D1979" s="2" t="s">
        <v>6600</v>
      </c>
      <c r="E1979" s="5" t="s">
        <v>6601</v>
      </c>
      <c r="F1979" s="3" t="s">
        <v>6598</v>
      </c>
      <c r="G1979" s="3" t="s">
        <v>1282</v>
      </c>
      <c r="H1979" s="2" t="str">
        <f>"2012"</f>
        <v>2012</v>
      </c>
      <c r="I1979" t="s">
        <v>14</v>
      </c>
      <c r="J1979" t="s">
        <v>15</v>
      </c>
    </row>
    <row r="1980" spans="1:10">
      <c r="A1980" s="2" t="str">
        <f>"1977"</f>
        <v>1977</v>
      </c>
      <c r="B1980" s="2" t="s">
        <v>9</v>
      </c>
      <c r="C1980" s="2" t="str">
        <f>"1 (1)"</f>
        <v>1 (1)</v>
      </c>
      <c r="D1980" s="2" t="s">
        <v>6602</v>
      </c>
      <c r="E1980" s="5" t="s">
        <v>6603</v>
      </c>
      <c r="F1980" s="3" t="s">
        <v>6604</v>
      </c>
      <c r="G1980" s="3" t="s">
        <v>6605</v>
      </c>
      <c r="H1980" s="2" t="str">
        <f>"2013"</f>
        <v>2013</v>
      </c>
      <c r="I1980" t="s">
        <v>14</v>
      </c>
      <c r="J1980" t="s">
        <v>15</v>
      </c>
    </row>
    <row r="1981" spans="1:10">
      <c r="A1981" s="2" t="str">
        <f>"1978"</f>
        <v>1978</v>
      </c>
      <c r="B1981" s="2" t="s">
        <v>9</v>
      </c>
      <c r="C1981" s="2" t="str">
        <f>"1 (1)"</f>
        <v>1 (1)</v>
      </c>
      <c r="D1981" s="2" t="s">
        <v>6606</v>
      </c>
      <c r="E1981" s="5" t="s">
        <v>6607</v>
      </c>
      <c r="F1981" s="3" t="s">
        <v>6608</v>
      </c>
      <c r="G1981" s="3" t="s">
        <v>6609</v>
      </c>
      <c r="H1981" s="2" t="str">
        <f>"2013"</f>
        <v>2013</v>
      </c>
      <c r="I1981" t="s">
        <v>14</v>
      </c>
      <c r="J1981" t="s">
        <v>15</v>
      </c>
    </row>
    <row r="1982" spans="1:10">
      <c r="A1982" s="2" t="str">
        <f>"1979"</f>
        <v>1979</v>
      </c>
      <c r="B1982" s="2" t="s">
        <v>9</v>
      </c>
      <c r="C1982" s="2" t="str">
        <f>"1 (1)"</f>
        <v>1 (1)</v>
      </c>
      <c r="D1982" s="2" t="s">
        <v>6610</v>
      </c>
      <c r="E1982" s="5" t="s">
        <v>6611</v>
      </c>
      <c r="F1982" s="3" t="s">
        <v>6612</v>
      </c>
      <c r="G1982" s="3" t="s">
        <v>6455</v>
      </c>
      <c r="H1982" s="2" t="str">
        <f>"2013"</f>
        <v>2013</v>
      </c>
      <c r="I1982" t="s">
        <v>14</v>
      </c>
      <c r="J1982" t="s">
        <v>15</v>
      </c>
    </row>
    <row r="1983" spans="1:10">
      <c r="A1983" s="2" t="str">
        <f>"1980"</f>
        <v>1980</v>
      </c>
      <c r="B1983" s="2" t="s">
        <v>9</v>
      </c>
      <c r="C1983" s="2" t="str">
        <f>"1 (1)"</f>
        <v>1 (1)</v>
      </c>
      <c r="D1983" s="2" t="s">
        <v>6613</v>
      </c>
      <c r="E1983" s="5" t="s">
        <v>6614</v>
      </c>
      <c r="F1983" s="3" t="s">
        <v>6615</v>
      </c>
      <c r="G1983" s="3" t="s">
        <v>6616</v>
      </c>
      <c r="H1983" s="2" t="str">
        <f>"2013"</f>
        <v>2013</v>
      </c>
      <c r="I1983" t="s">
        <v>14</v>
      </c>
      <c r="J1983" t="s">
        <v>15</v>
      </c>
    </row>
    <row r="1984" spans="1:10">
      <c r="A1984" s="2" t="str">
        <f>"1981"</f>
        <v>1981</v>
      </c>
      <c r="B1984" s="2" t="s">
        <v>9</v>
      </c>
      <c r="C1984" s="2" t="str">
        <f>"1 (1)"</f>
        <v>1 (1)</v>
      </c>
      <c r="D1984" s="2" t="s">
        <v>6617</v>
      </c>
      <c r="E1984" s="5" t="s">
        <v>6618</v>
      </c>
      <c r="F1984" s="3" t="s">
        <v>6619</v>
      </c>
      <c r="G1984" s="3" t="s">
        <v>6620</v>
      </c>
      <c r="H1984" s="2" t="str">
        <f>"2013"</f>
        <v>2013</v>
      </c>
      <c r="I1984" t="s">
        <v>14</v>
      </c>
      <c r="J1984" t="s">
        <v>15</v>
      </c>
    </row>
    <row r="1985" spans="1:10">
      <c r="A1985" s="2" t="str">
        <f>"1982"</f>
        <v>1982</v>
      </c>
      <c r="B1985" s="2" t="s">
        <v>9</v>
      </c>
      <c r="C1985" s="2" t="str">
        <f>"1 (1)"</f>
        <v>1 (1)</v>
      </c>
      <c r="D1985" s="2" t="s">
        <v>6621</v>
      </c>
      <c r="E1985" s="5" t="s">
        <v>6622</v>
      </c>
      <c r="F1985" s="3" t="s">
        <v>6623</v>
      </c>
      <c r="G1985" s="3" t="s">
        <v>6624</v>
      </c>
      <c r="H1985" s="2" t="str">
        <f>"2013"</f>
        <v>2013</v>
      </c>
      <c r="I1985" t="s">
        <v>14</v>
      </c>
      <c r="J1985" t="s">
        <v>15</v>
      </c>
    </row>
    <row r="1986" spans="1:10">
      <c r="A1986" s="2" t="str">
        <f>"1983"</f>
        <v>1983</v>
      </c>
      <c r="B1986" s="2" t="s">
        <v>9</v>
      </c>
      <c r="C1986" s="2" t="str">
        <f>"1 (1)"</f>
        <v>1 (1)</v>
      </c>
      <c r="D1986" s="2" t="s">
        <v>6625</v>
      </c>
      <c r="E1986" s="5" t="s">
        <v>6626</v>
      </c>
      <c r="F1986" s="3" t="s">
        <v>6627</v>
      </c>
      <c r="G1986" s="3" t="s">
        <v>1010</v>
      </c>
      <c r="H1986" s="2" t="str">
        <f>"2013"</f>
        <v>2013</v>
      </c>
      <c r="I1986" t="s">
        <v>14</v>
      </c>
      <c r="J1986" t="s">
        <v>15</v>
      </c>
    </row>
    <row r="1987" spans="1:10">
      <c r="A1987" s="2" t="str">
        <f>"1984"</f>
        <v>1984</v>
      </c>
      <c r="B1987" s="2" t="s">
        <v>9</v>
      </c>
      <c r="C1987" s="2" t="str">
        <f>"1 (1)"</f>
        <v>1 (1)</v>
      </c>
      <c r="D1987" s="2" t="s">
        <v>6628</v>
      </c>
      <c r="E1987" s="5" t="s">
        <v>6629</v>
      </c>
      <c r="F1987" s="3" t="s">
        <v>6630</v>
      </c>
      <c r="G1987" s="3" t="s">
        <v>3198</v>
      </c>
      <c r="H1987" s="2" t="str">
        <f>"2013"</f>
        <v>2013</v>
      </c>
      <c r="I1987" t="s">
        <v>14</v>
      </c>
      <c r="J1987" t="s">
        <v>15</v>
      </c>
    </row>
    <row r="1988" spans="1:10">
      <c r="A1988" s="2" t="str">
        <f>"1985"</f>
        <v>1985</v>
      </c>
      <c r="B1988" s="2" t="s">
        <v>9</v>
      </c>
      <c r="C1988" s="2" t="str">
        <f>"1 (1)"</f>
        <v>1 (1)</v>
      </c>
      <c r="D1988" s="2" t="s">
        <v>6631</v>
      </c>
      <c r="E1988" s="5" t="s">
        <v>6632</v>
      </c>
      <c r="F1988" s="3" t="s">
        <v>6633</v>
      </c>
      <c r="G1988" s="3" t="s">
        <v>82</v>
      </c>
      <c r="H1988" s="2" t="str">
        <f>"2012"</f>
        <v>2012</v>
      </c>
      <c r="I1988" t="s">
        <v>14</v>
      </c>
      <c r="J1988" t="s">
        <v>15</v>
      </c>
    </row>
    <row r="1989" spans="1:10">
      <c r="A1989" s="2" t="str">
        <f>"1986"</f>
        <v>1986</v>
      </c>
      <c r="B1989" s="2" t="s">
        <v>9</v>
      </c>
      <c r="C1989" s="2" t="str">
        <f>"1 (1)"</f>
        <v>1 (1)</v>
      </c>
      <c r="D1989" s="2" t="s">
        <v>6634</v>
      </c>
      <c r="E1989" s="5" t="s">
        <v>6635</v>
      </c>
      <c r="F1989" s="3" t="s">
        <v>6636</v>
      </c>
      <c r="G1989" s="3" t="s">
        <v>6637</v>
      </c>
      <c r="H1989" s="2" t="str">
        <f>"2013"</f>
        <v>2013</v>
      </c>
      <c r="I1989" t="s">
        <v>14</v>
      </c>
      <c r="J1989" t="s">
        <v>15</v>
      </c>
    </row>
    <row r="1990" spans="1:10">
      <c r="A1990" s="2" t="str">
        <f>"1987"</f>
        <v>1987</v>
      </c>
      <c r="B1990" s="2" t="s">
        <v>9</v>
      </c>
      <c r="C1990" s="2" t="str">
        <f>"1 (1)"</f>
        <v>1 (1)</v>
      </c>
      <c r="D1990" s="2" t="s">
        <v>6638</v>
      </c>
      <c r="E1990" s="5" t="s">
        <v>6639</v>
      </c>
      <c r="F1990" s="3" t="s">
        <v>6640</v>
      </c>
      <c r="G1990" s="3" t="s">
        <v>82</v>
      </c>
      <c r="H1990" s="2" t="str">
        <f>"2012"</f>
        <v>2012</v>
      </c>
      <c r="I1990" t="s">
        <v>14</v>
      </c>
      <c r="J1990" t="s">
        <v>15</v>
      </c>
    </row>
    <row r="1991" spans="1:10">
      <c r="A1991" s="2" t="str">
        <f>"1988"</f>
        <v>1988</v>
      </c>
      <c r="B1991" s="2" t="s">
        <v>9</v>
      </c>
      <c r="C1991" s="2" t="str">
        <f>"1 (1)"</f>
        <v>1 (1)</v>
      </c>
      <c r="D1991" s="2" t="s">
        <v>6641</v>
      </c>
      <c r="E1991" s="5" t="s">
        <v>6642</v>
      </c>
      <c r="F1991" s="3" t="s">
        <v>6643</v>
      </c>
      <c r="G1991" s="3" t="s">
        <v>6644</v>
      </c>
      <c r="H1991" s="2" t="str">
        <f>"2013"</f>
        <v>2013</v>
      </c>
      <c r="I1991" t="s">
        <v>14</v>
      </c>
      <c r="J1991" t="s">
        <v>15</v>
      </c>
    </row>
    <row r="1992" spans="1:10">
      <c r="A1992" s="2" t="str">
        <f>"1989"</f>
        <v>1989</v>
      </c>
      <c r="B1992" s="2" t="s">
        <v>9</v>
      </c>
      <c r="C1992" s="2" t="str">
        <f>"1 (1)"</f>
        <v>1 (1)</v>
      </c>
      <c r="D1992" s="2" t="s">
        <v>6645</v>
      </c>
      <c r="E1992" s="5" t="s">
        <v>6646</v>
      </c>
      <c r="F1992" s="3" t="s">
        <v>6647</v>
      </c>
      <c r="G1992" s="3" t="s">
        <v>2421</v>
      </c>
      <c r="H1992" s="2" t="str">
        <f>"2013"</f>
        <v>2013</v>
      </c>
      <c r="I1992" t="s">
        <v>14</v>
      </c>
      <c r="J1992" t="s">
        <v>15</v>
      </c>
    </row>
    <row r="1993" spans="1:10">
      <c r="A1993" s="2" t="str">
        <f>"1990"</f>
        <v>1990</v>
      </c>
      <c r="B1993" s="2" t="s">
        <v>9</v>
      </c>
      <c r="C1993" s="2" t="str">
        <f>"1 (1)"</f>
        <v>1 (1)</v>
      </c>
      <c r="D1993" s="2" t="s">
        <v>6648</v>
      </c>
      <c r="E1993" s="5" t="s">
        <v>6649</v>
      </c>
      <c r="F1993" s="3" t="s">
        <v>6650</v>
      </c>
      <c r="G1993" s="3" t="s">
        <v>6651</v>
      </c>
      <c r="H1993" s="2" t="str">
        <f>"2013"</f>
        <v>2013</v>
      </c>
      <c r="I1993" t="s">
        <v>14</v>
      </c>
      <c r="J1993" t="s">
        <v>15</v>
      </c>
    </row>
    <row r="1994" spans="1:10">
      <c r="A1994" s="2" t="str">
        <f>"1991"</f>
        <v>1991</v>
      </c>
      <c r="B1994" s="2" t="s">
        <v>9</v>
      </c>
      <c r="C1994" s="2" t="str">
        <f>"1 (1)"</f>
        <v>1 (1)</v>
      </c>
      <c r="D1994" s="2" t="s">
        <v>6652</v>
      </c>
      <c r="E1994" s="5" t="s">
        <v>6653</v>
      </c>
      <c r="F1994" s="3" t="s">
        <v>6654</v>
      </c>
      <c r="G1994" s="3" t="s">
        <v>130</v>
      </c>
      <c r="H1994" s="2" t="str">
        <f>"2013"</f>
        <v>2013</v>
      </c>
      <c r="I1994" t="s">
        <v>14</v>
      </c>
      <c r="J1994" t="s">
        <v>15</v>
      </c>
    </row>
    <row r="1995" spans="1:10">
      <c r="A1995" s="2" t="str">
        <f>"1992"</f>
        <v>1992</v>
      </c>
      <c r="B1995" s="2" t="s">
        <v>9</v>
      </c>
      <c r="C1995" s="2" t="str">
        <f>"1 (1)"</f>
        <v>1 (1)</v>
      </c>
      <c r="D1995" s="2" t="s">
        <v>6655</v>
      </c>
      <c r="E1995" s="5" t="s">
        <v>6656</v>
      </c>
      <c r="F1995" s="3" t="s">
        <v>6657</v>
      </c>
      <c r="G1995" s="3" t="s">
        <v>134</v>
      </c>
      <c r="H1995" s="2" t="str">
        <f>"2013"</f>
        <v>2013</v>
      </c>
      <c r="I1995" t="s">
        <v>14</v>
      </c>
      <c r="J1995" t="s">
        <v>15</v>
      </c>
    </row>
    <row r="1996" spans="1:10">
      <c r="A1996" s="2" t="str">
        <f>"1993"</f>
        <v>1993</v>
      </c>
      <c r="B1996" s="2" t="s">
        <v>9</v>
      </c>
      <c r="C1996" s="2" t="str">
        <f>"1 (1)"</f>
        <v>1 (1)</v>
      </c>
      <c r="D1996" s="2" t="s">
        <v>6658</v>
      </c>
      <c r="E1996" s="5" t="s">
        <v>6659</v>
      </c>
      <c r="F1996" s="3" t="s">
        <v>6660</v>
      </c>
      <c r="G1996" s="3" t="s">
        <v>6661</v>
      </c>
      <c r="H1996" s="2" t="str">
        <f>"2013"</f>
        <v>2013</v>
      </c>
      <c r="I1996" t="s">
        <v>14</v>
      </c>
      <c r="J1996" t="s">
        <v>15</v>
      </c>
    </row>
    <row r="1997" spans="1:10">
      <c r="A1997" s="2" t="str">
        <f>"1994"</f>
        <v>1994</v>
      </c>
      <c r="B1997" s="2" t="s">
        <v>9</v>
      </c>
      <c r="C1997" s="2" t="str">
        <f>"1 (1)"</f>
        <v>1 (1)</v>
      </c>
      <c r="D1997" s="2" t="s">
        <v>6662</v>
      </c>
      <c r="E1997" s="5" t="s">
        <v>6663</v>
      </c>
      <c r="F1997" s="3" t="s">
        <v>6664</v>
      </c>
      <c r="G1997" s="3" t="s">
        <v>6665</v>
      </c>
      <c r="H1997" s="2" t="str">
        <f>"2012"</f>
        <v>2012</v>
      </c>
      <c r="I1997" t="s">
        <v>14</v>
      </c>
      <c r="J1997" t="s">
        <v>15</v>
      </c>
    </row>
    <row r="1998" spans="1:10">
      <c r="A1998" s="2" t="str">
        <f>"1995"</f>
        <v>1995</v>
      </c>
      <c r="B1998" s="2" t="s">
        <v>9</v>
      </c>
      <c r="C1998" s="2" t="str">
        <f>"1 (1)"</f>
        <v>1 (1)</v>
      </c>
      <c r="D1998" s="2" t="s">
        <v>6666</v>
      </c>
      <c r="E1998" s="5" t="s">
        <v>6667</v>
      </c>
      <c r="F1998" s="3" t="s">
        <v>6668</v>
      </c>
      <c r="G1998" s="3" t="s">
        <v>6669</v>
      </c>
      <c r="H1998" s="2" t="str">
        <f>"2013"</f>
        <v>2013</v>
      </c>
      <c r="I1998" t="s">
        <v>14</v>
      </c>
      <c r="J1998" t="s">
        <v>15</v>
      </c>
    </row>
    <row r="1999" spans="1:10">
      <c r="A1999" s="2" t="str">
        <f>"1996"</f>
        <v>1996</v>
      </c>
      <c r="B1999" s="2" t="s">
        <v>9</v>
      </c>
      <c r="C1999" s="2" t="str">
        <f>"1 (1)"</f>
        <v>1 (1)</v>
      </c>
      <c r="D1999" s="2" t="s">
        <v>6670</v>
      </c>
      <c r="E1999" s="5" t="s">
        <v>6671</v>
      </c>
      <c r="F1999" s="3" t="s">
        <v>6672</v>
      </c>
      <c r="G1999" s="3" t="s">
        <v>1675</v>
      </c>
      <c r="H1999" s="2" t="str">
        <f>"2013"</f>
        <v>2013</v>
      </c>
      <c r="I1999" t="s">
        <v>14</v>
      </c>
      <c r="J1999" t="s">
        <v>15</v>
      </c>
    </row>
    <row r="2000" spans="1:10">
      <c r="A2000" s="2" t="str">
        <f>"1997"</f>
        <v>1997</v>
      </c>
      <c r="B2000" s="2" t="s">
        <v>9</v>
      </c>
      <c r="C2000" s="2" t="str">
        <f>"1 (1)"</f>
        <v>1 (1)</v>
      </c>
      <c r="D2000" s="2" t="s">
        <v>6673</v>
      </c>
      <c r="E2000" s="5" t="s">
        <v>6674</v>
      </c>
      <c r="F2000" s="3" t="s">
        <v>6675</v>
      </c>
      <c r="G2000" s="3" t="s">
        <v>6676</v>
      </c>
      <c r="H2000" s="2" t="str">
        <f>"2013"</f>
        <v>2013</v>
      </c>
      <c r="I2000" t="s">
        <v>14</v>
      </c>
      <c r="J2000" t="s">
        <v>15</v>
      </c>
    </row>
    <row r="2001" spans="1:10">
      <c r="A2001" s="2" t="str">
        <f>"1998"</f>
        <v>1998</v>
      </c>
      <c r="B2001" s="2" t="s">
        <v>9</v>
      </c>
      <c r="C2001" s="2" t="str">
        <f>"1 (1)"</f>
        <v>1 (1)</v>
      </c>
      <c r="D2001" s="2" t="s">
        <v>6677</v>
      </c>
      <c r="E2001" s="5" t="s">
        <v>6678</v>
      </c>
      <c r="F2001" s="3" t="s">
        <v>6679</v>
      </c>
      <c r="G2001" s="3" t="s">
        <v>134</v>
      </c>
      <c r="H2001" s="2" t="str">
        <f>"2013"</f>
        <v>2013</v>
      </c>
      <c r="I2001" t="s">
        <v>14</v>
      </c>
      <c r="J2001" t="s">
        <v>15</v>
      </c>
    </row>
    <row r="2002" spans="1:10">
      <c r="A2002" s="2" t="str">
        <f>"1999"</f>
        <v>1999</v>
      </c>
      <c r="B2002" s="2" t="s">
        <v>9</v>
      </c>
      <c r="C2002" s="2" t="str">
        <f>"1 (1)"</f>
        <v>1 (1)</v>
      </c>
      <c r="D2002" s="2" t="s">
        <v>6680</v>
      </c>
      <c r="E2002" s="5" t="s">
        <v>6681</v>
      </c>
      <c r="F2002" s="3" t="s">
        <v>6682</v>
      </c>
      <c r="G2002" s="3" t="s">
        <v>6683</v>
      </c>
      <c r="H2002" s="2" t="str">
        <f>"2013"</f>
        <v>2013</v>
      </c>
      <c r="I2002" t="s">
        <v>14</v>
      </c>
      <c r="J2002" t="s">
        <v>15</v>
      </c>
    </row>
    <row r="2003" spans="1:10">
      <c r="A2003" s="2" t="str">
        <f>"2000"</f>
        <v>2000</v>
      </c>
      <c r="B2003" s="2" t="s">
        <v>9</v>
      </c>
      <c r="C2003" s="2" t="str">
        <f>"1 (1)"</f>
        <v>1 (1)</v>
      </c>
      <c r="D2003" s="2" t="s">
        <v>6684</v>
      </c>
      <c r="E2003" s="5" t="s">
        <v>6685</v>
      </c>
      <c r="F2003" s="3" t="s">
        <v>1006</v>
      </c>
      <c r="G2003" s="3" t="s">
        <v>4674</v>
      </c>
      <c r="H2003" s="2" t="str">
        <f>"2013"</f>
        <v>2013</v>
      </c>
      <c r="I2003" t="s">
        <v>14</v>
      </c>
      <c r="J2003" t="s">
        <v>15</v>
      </c>
    </row>
    <row r="2004" spans="1:10">
      <c r="A2004" s="2" t="str">
        <f>"2001"</f>
        <v>2001</v>
      </c>
      <c r="B2004" s="2" t="s">
        <v>9</v>
      </c>
      <c r="C2004" s="2" t="str">
        <f>"1 (1)"</f>
        <v>1 (1)</v>
      </c>
      <c r="D2004" s="2" t="s">
        <v>6686</v>
      </c>
      <c r="E2004" s="5" t="s">
        <v>6687</v>
      </c>
      <c r="F2004" s="3" t="s">
        <v>6688</v>
      </c>
      <c r="G2004" s="3" t="s">
        <v>3256</v>
      </c>
      <c r="H2004" s="2" t="str">
        <f>"2013"</f>
        <v>2013</v>
      </c>
      <c r="I2004" t="s">
        <v>14</v>
      </c>
      <c r="J2004" t="s">
        <v>15</v>
      </c>
    </row>
    <row r="2005" spans="1:10">
      <c r="A2005" s="2" t="str">
        <f>"2002"</f>
        <v>2002</v>
      </c>
      <c r="B2005" s="2" t="s">
        <v>9</v>
      </c>
      <c r="C2005" s="2" t="str">
        <f>"1 (1)"</f>
        <v>1 (1)</v>
      </c>
      <c r="D2005" s="2" t="s">
        <v>6689</v>
      </c>
      <c r="E2005" s="5" t="s">
        <v>6690</v>
      </c>
      <c r="F2005" s="3" t="s">
        <v>6691</v>
      </c>
      <c r="G2005" s="3" t="s">
        <v>466</v>
      </c>
      <c r="H2005" s="2" t="str">
        <f>"2012"</f>
        <v>2012</v>
      </c>
      <c r="I2005" t="s">
        <v>14</v>
      </c>
      <c r="J2005" t="s">
        <v>15</v>
      </c>
    </row>
    <row r="2006" spans="1:10">
      <c r="A2006" s="2" t="str">
        <f>"2003"</f>
        <v>2003</v>
      </c>
      <c r="B2006" s="2" t="s">
        <v>9</v>
      </c>
      <c r="C2006" s="2" t="str">
        <f>"1 (1)"</f>
        <v>1 (1)</v>
      </c>
      <c r="D2006" s="2" t="s">
        <v>6692</v>
      </c>
      <c r="E2006" s="5" t="s">
        <v>6693</v>
      </c>
      <c r="F2006" s="3" t="s">
        <v>6694</v>
      </c>
      <c r="G2006" s="3" t="s">
        <v>6584</v>
      </c>
      <c r="H2006" s="2" t="str">
        <f>"2013"</f>
        <v>2013</v>
      </c>
      <c r="I2006" t="s">
        <v>14</v>
      </c>
      <c r="J2006" t="s">
        <v>15</v>
      </c>
    </row>
    <row r="2007" spans="1:10">
      <c r="A2007" s="2" t="str">
        <f>"2004"</f>
        <v>2004</v>
      </c>
      <c r="B2007" s="2" t="s">
        <v>9</v>
      </c>
      <c r="C2007" s="2" t="str">
        <f>"1 (1)"</f>
        <v>1 (1)</v>
      </c>
      <c r="D2007" s="2" t="s">
        <v>6695</v>
      </c>
      <c r="E2007" s="5" t="s">
        <v>6696</v>
      </c>
      <c r="F2007" s="3" t="s">
        <v>6697</v>
      </c>
      <c r="G2007" s="3" t="s">
        <v>4781</v>
      </c>
      <c r="H2007" s="2" t="str">
        <f>"2012"</f>
        <v>2012</v>
      </c>
      <c r="I2007" t="s">
        <v>14</v>
      </c>
      <c r="J2007" t="s">
        <v>15</v>
      </c>
    </row>
    <row r="2008" spans="1:10">
      <c r="A2008" s="2" t="str">
        <f>"2005"</f>
        <v>2005</v>
      </c>
      <c r="B2008" s="2" t="s">
        <v>9</v>
      </c>
      <c r="C2008" s="2" t="str">
        <f>"1 (1)"</f>
        <v>1 (1)</v>
      </c>
      <c r="D2008" s="2" t="s">
        <v>6698</v>
      </c>
      <c r="E2008" s="5" t="s">
        <v>6699</v>
      </c>
      <c r="F2008" s="3" t="s">
        <v>6700</v>
      </c>
      <c r="G2008" s="3" t="s">
        <v>6701</v>
      </c>
      <c r="H2008" s="2" t="str">
        <f>"2013"</f>
        <v>2013</v>
      </c>
      <c r="I2008" t="s">
        <v>14</v>
      </c>
      <c r="J2008" t="s">
        <v>15</v>
      </c>
    </row>
    <row r="2009" spans="1:10">
      <c r="A2009" s="2" t="str">
        <f>"2006"</f>
        <v>2006</v>
      </c>
      <c r="B2009" s="2" t="s">
        <v>9</v>
      </c>
      <c r="C2009" s="2" t="str">
        <f>"1 (1)"</f>
        <v>1 (1)</v>
      </c>
      <c r="D2009" s="2" t="s">
        <v>6702</v>
      </c>
      <c r="E2009" s="5" t="s">
        <v>6703</v>
      </c>
      <c r="F2009" s="3" t="s">
        <v>6704</v>
      </c>
      <c r="G2009" s="3" t="s">
        <v>6705</v>
      </c>
      <c r="H2009" s="2" t="str">
        <f>"2011"</f>
        <v>2011</v>
      </c>
      <c r="I2009" t="s">
        <v>14</v>
      </c>
      <c r="J2009" t="s">
        <v>15</v>
      </c>
    </row>
    <row r="2010" spans="1:10">
      <c r="A2010" s="2" t="str">
        <f>"2007"</f>
        <v>2007</v>
      </c>
      <c r="B2010" s="2" t="s">
        <v>9</v>
      </c>
      <c r="C2010" s="2" t="str">
        <f>"1 (1)"</f>
        <v>1 (1)</v>
      </c>
      <c r="D2010" s="2" t="s">
        <v>6706</v>
      </c>
      <c r="E2010" s="5" t="s">
        <v>6707</v>
      </c>
      <c r="F2010" s="3" t="s">
        <v>6708</v>
      </c>
      <c r="G2010" s="3" t="s">
        <v>156</v>
      </c>
      <c r="H2010" s="2" t="str">
        <f>"2013"</f>
        <v>2013</v>
      </c>
      <c r="I2010" t="s">
        <v>14</v>
      </c>
      <c r="J2010" t="s">
        <v>15</v>
      </c>
    </row>
    <row r="2011" spans="1:10">
      <c r="A2011" s="2" t="str">
        <f>"2008"</f>
        <v>2008</v>
      </c>
      <c r="B2011" s="2" t="s">
        <v>9</v>
      </c>
      <c r="C2011" s="2" t="str">
        <f>"1 (1)"</f>
        <v>1 (1)</v>
      </c>
      <c r="D2011" s="2" t="s">
        <v>6709</v>
      </c>
      <c r="E2011" s="5" t="s">
        <v>6710</v>
      </c>
      <c r="F2011" s="3" t="s">
        <v>6711</v>
      </c>
      <c r="G2011" s="3" t="s">
        <v>156</v>
      </c>
      <c r="H2011" s="2" t="str">
        <f>"2013"</f>
        <v>2013</v>
      </c>
      <c r="I2011" t="s">
        <v>14</v>
      </c>
      <c r="J2011" t="s">
        <v>15</v>
      </c>
    </row>
    <row r="2012" spans="1:10">
      <c r="A2012" s="2" t="str">
        <f>"2009"</f>
        <v>2009</v>
      </c>
      <c r="B2012" s="2" t="s">
        <v>9</v>
      </c>
      <c r="C2012" s="2" t="str">
        <f>"1 (1)"</f>
        <v>1 (1)</v>
      </c>
      <c r="D2012" s="2" t="s">
        <v>6712</v>
      </c>
      <c r="E2012" s="5" t="s">
        <v>6603</v>
      </c>
      <c r="F2012" s="3" t="s">
        <v>6604</v>
      </c>
      <c r="G2012" s="3" t="s">
        <v>6605</v>
      </c>
      <c r="H2012" s="2" t="str">
        <f>"2013"</f>
        <v>2013</v>
      </c>
      <c r="I2012" t="s">
        <v>14</v>
      </c>
      <c r="J2012" t="s">
        <v>15</v>
      </c>
    </row>
    <row r="2013" spans="1:10">
      <c r="A2013" s="2" t="str">
        <f>"2010"</f>
        <v>2010</v>
      </c>
      <c r="B2013" s="2" t="s">
        <v>9</v>
      </c>
      <c r="C2013" s="2" t="str">
        <f>"1 (1)"</f>
        <v>1 (1)</v>
      </c>
      <c r="D2013" s="2" t="s">
        <v>6713</v>
      </c>
      <c r="E2013" s="5" t="s">
        <v>6714</v>
      </c>
      <c r="F2013" s="3" t="s">
        <v>6715</v>
      </c>
      <c r="G2013" s="3" t="s">
        <v>98</v>
      </c>
      <c r="H2013" s="2" t="str">
        <f>"2011"</f>
        <v>2011</v>
      </c>
      <c r="I2013" t="s">
        <v>14</v>
      </c>
      <c r="J2013" t="s">
        <v>15</v>
      </c>
    </row>
    <row r="2014" spans="1:10">
      <c r="A2014" s="2" t="str">
        <f>"2011"</f>
        <v>2011</v>
      </c>
      <c r="B2014" s="2" t="s">
        <v>9</v>
      </c>
      <c r="C2014" s="2" t="str">
        <f>"1 (1)"</f>
        <v>1 (1)</v>
      </c>
      <c r="D2014" s="2" t="s">
        <v>6716</v>
      </c>
      <c r="E2014" s="5" t="s">
        <v>6717</v>
      </c>
      <c r="F2014" s="3" t="s">
        <v>6718</v>
      </c>
      <c r="G2014" s="3" t="s">
        <v>353</v>
      </c>
      <c r="H2014" s="2" t="str">
        <f>"2013"</f>
        <v>2013</v>
      </c>
      <c r="I2014" t="s">
        <v>14</v>
      </c>
      <c r="J2014" t="s">
        <v>15</v>
      </c>
    </row>
    <row r="2015" spans="1:10">
      <c r="A2015" s="2" t="str">
        <f>"2012"</f>
        <v>2012</v>
      </c>
      <c r="B2015" s="2" t="s">
        <v>9</v>
      </c>
      <c r="C2015" s="2" t="str">
        <f>"1 (1)"</f>
        <v>1 (1)</v>
      </c>
      <c r="D2015" s="2" t="s">
        <v>6719</v>
      </c>
      <c r="E2015" s="5" t="s">
        <v>6720</v>
      </c>
      <c r="F2015" s="3" t="s">
        <v>6721</v>
      </c>
      <c r="G2015" s="3" t="s">
        <v>1100</v>
      </c>
      <c r="H2015" s="2" t="str">
        <f>"2013"</f>
        <v>2013</v>
      </c>
      <c r="I2015" t="s">
        <v>14</v>
      </c>
      <c r="J2015" t="s">
        <v>15</v>
      </c>
    </row>
    <row r="2016" spans="1:10">
      <c r="A2016" s="2" t="str">
        <f>"2013"</f>
        <v>2013</v>
      </c>
      <c r="B2016" s="2" t="s">
        <v>9</v>
      </c>
      <c r="C2016" s="2" t="str">
        <f>"1 (1)"</f>
        <v>1 (1)</v>
      </c>
      <c r="D2016" s="2" t="s">
        <v>6722</v>
      </c>
      <c r="E2016" s="5" t="s">
        <v>6723</v>
      </c>
      <c r="F2016" s="3" t="s">
        <v>6724</v>
      </c>
      <c r="G2016" s="3" t="s">
        <v>98</v>
      </c>
      <c r="H2016" s="2" t="str">
        <f>"2013"</f>
        <v>2013</v>
      </c>
      <c r="I2016" t="s">
        <v>14</v>
      </c>
      <c r="J2016" t="s">
        <v>15</v>
      </c>
    </row>
    <row r="2017" spans="1:10">
      <c r="A2017" s="2" t="str">
        <f>"2014"</f>
        <v>2014</v>
      </c>
      <c r="B2017" s="2" t="s">
        <v>9</v>
      </c>
      <c r="C2017" s="2" t="str">
        <f>"1 (1)"</f>
        <v>1 (1)</v>
      </c>
      <c r="D2017" s="2" t="s">
        <v>6725</v>
      </c>
      <c r="E2017" s="5" t="s">
        <v>6726</v>
      </c>
      <c r="F2017" s="3" t="s">
        <v>6727</v>
      </c>
      <c r="G2017" s="3" t="s">
        <v>353</v>
      </c>
      <c r="H2017" s="2" t="str">
        <f>"2012"</f>
        <v>2012</v>
      </c>
      <c r="I2017" t="s">
        <v>14</v>
      </c>
      <c r="J2017" t="s">
        <v>15</v>
      </c>
    </row>
    <row r="2018" spans="1:10">
      <c r="A2018" s="2" t="str">
        <f>"2015"</f>
        <v>2015</v>
      </c>
      <c r="B2018" s="2" t="s">
        <v>9</v>
      </c>
      <c r="C2018" s="2" t="str">
        <f>"1 (1)"</f>
        <v>1 (1)</v>
      </c>
      <c r="D2018" s="2" t="s">
        <v>6728</v>
      </c>
      <c r="E2018" s="5" t="s">
        <v>6729</v>
      </c>
      <c r="F2018" s="3" t="s">
        <v>6730</v>
      </c>
      <c r="G2018" s="3" t="s">
        <v>6731</v>
      </c>
      <c r="H2018" s="2" t="str">
        <f>"2013"</f>
        <v>2013</v>
      </c>
      <c r="I2018" t="s">
        <v>14</v>
      </c>
      <c r="J2018" t="s">
        <v>15</v>
      </c>
    </row>
    <row r="2019" spans="1:10">
      <c r="A2019" s="2" t="str">
        <f>"2016"</f>
        <v>2016</v>
      </c>
      <c r="B2019" s="2" t="s">
        <v>9</v>
      </c>
      <c r="C2019" s="2" t="str">
        <f>"1 (1)"</f>
        <v>1 (1)</v>
      </c>
      <c r="D2019" s="2" t="s">
        <v>6732</v>
      </c>
      <c r="E2019" s="5" t="s">
        <v>6733</v>
      </c>
      <c r="F2019" s="3" t="s">
        <v>6734</v>
      </c>
      <c r="G2019" s="3" t="s">
        <v>114</v>
      </c>
      <c r="H2019" s="2" t="str">
        <f>"2011"</f>
        <v>2011</v>
      </c>
      <c r="I2019" t="s">
        <v>14</v>
      </c>
      <c r="J2019" t="s">
        <v>15</v>
      </c>
    </row>
    <row r="2020" spans="1:10">
      <c r="A2020" s="2" t="str">
        <f>"2017"</f>
        <v>2017</v>
      </c>
      <c r="B2020" s="2" t="s">
        <v>9</v>
      </c>
      <c r="C2020" s="2" t="str">
        <f>"1 (1)"</f>
        <v>1 (1)</v>
      </c>
      <c r="D2020" s="2" t="s">
        <v>6735</v>
      </c>
      <c r="E2020" s="5" t="s">
        <v>6736</v>
      </c>
      <c r="F2020" s="3" t="s">
        <v>6737</v>
      </c>
      <c r="G2020" s="3" t="s">
        <v>676</v>
      </c>
      <c r="H2020" s="2" t="str">
        <f>"2013"</f>
        <v>2013</v>
      </c>
      <c r="I2020" t="s">
        <v>14</v>
      </c>
      <c r="J2020" t="s">
        <v>15</v>
      </c>
    </row>
    <row r="2021" spans="1:10">
      <c r="A2021" s="2" t="str">
        <f>"2018"</f>
        <v>2018</v>
      </c>
      <c r="B2021" s="2" t="s">
        <v>9</v>
      </c>
      <c r="C2021" s="2" t="str">
        <f>"1 (1)"</f>
        <v>1 (1)</v>
      </c>
      <c r="D2021" s="2" t="s">
        <v>6738</v>
      </c>
      <c r="E2021" s="5" t="s">
        <v>6739</v>
      </c>
      <c r="F2021" s="3" t="s">
        <v>6740</v>
      </c>
      <c r="G2021" s="3" t="s">
        <v>58</v>
      </c>
      <c r="H2021" s="2" t="str">
        <f>"2013"</f>
        <v>2013</v>
      </c>
      <c r="I2021" t="s">
        <v>14</v>
      </c>
      <c r="J2021" t="s">
        <v>15</v>
      </c>
    </row>
    <row r="2022" spans="1:10">
      <c r="A2022" s="2" t="str">
        <f>"2019"</f>
        <v>2019</v>
      </c>
      <c r="B2022" s="2" t="s">
        <v>9</v>
      </c>
      <c r="C2022" s="2" t="str">
        <f>"1 (1)"</f>
        <v>1 (1)</v>
      </c>
      <c r="D2022" s="2" t="s">
        <v>6741</v>
      </c>
      <c r="E2022" s="5" t="s">
        <v>6742</v>
      </c>
      <c r="F2022" s="3" t="s">
        <v>6743</v>
      </c>
      <c r="G2022" s="3" t="s">
        <v>380</v>
      </c>
      <c r="H2022" s="2" t="str">
        <f>"2012"</f>
        <v>2012</v>
      </c>
      <c r="I2022" t="s">
        <v>14</v>
      </c>
      <c r="J2022" t="s">
        <v>15</v>
      </c>
    </row>
    <row r="2023" spans="1:10">
      <c r="A2023" s="2" t="str">
        <f>"2020"</f>
        <v>2020</v>
      </c>
      <c r="B2023" s="2" t="s">
        <v>9</v>
      </c>
      <c r="C2023" s="2" t="str">
        <f>"1 (1)"</f>
        <v>1 (1)</v>
      </c>
      <c r="D2023" s="2" t="s">
        <v>6744</v>
      </c>
      <c r="E2023" s="5" t="s">
        <v>6745</v>
      </c>
      <c r="F2023" s="3" t="s">
        <v>6746</v>
      </c>
      <c r="G2023" s="3" t="s">
        <v>3530</v>
      </c>
      <c r="H2023" s="2" t="str">
        <f>"2012"</f>
        <v>2012</v>
      </c>
      <c r="I2023" t="s">
        <v>14</v>
      </c>
      <c r="J2023" t="s">
        <v>15</v>
      </c>
    </row>
    <row r="2024" spans="1:10">
      <c r="A2024" s="2" t="str">
        <f>"2021"</f>
        <v>2021</v>
      </c>
      <c r="B2024" s="2" t="s">
        <v>9</v>
      </c>
      <c r="C2024" s="2" t="str">
        <f>"1 (1)"</f>
        <v>1 (1)</v>
      </c>
      <c r="D2024" s="2" t="s">
        <v>6747</v>
      </c>
      <c r="E2024" s="5" t="s">
        <v>6748</v>
      </c>
      <c r="F2024" s="3" t="s">
        <v>6749</v>
      </c>
      <c r="G2024" s="3" t="s">
        <v>6750</v>
      </c>
      <c r="H2024" s="2" t="str">
        <f>"2013"</f>
        <v>2013</v>
      </c>
      <c r="I2024" t="s">
        <v>14</v>
      </c>
      <c r="J2024" t="s">
        <v>15</v>
      </c>
    </row>
    <row r="2025" spans="1:10">
      <c r="A2025" s="2" t="str">
        <f>"2022"</f>
        <v>2022</v>
      </c>
      <c r="B2025" s="2" t="s">
        <v>9</v>
      </c>
      <c r="C2025" s="2" t="str">
        <f>"1 (1)"</f>
        <v>1 (1)</v>
      </c>
      <c r="D2025" s="2" t="s">
        <v>6751</v>
      </c>
      <c r="E2025" s="5" t="s">
        <v>6752</v>
      </c>
      <c r="F2025" s="3" t="s">
        <v>6753</v>
      </c>
      <c r="G2025" s="3" t="s">
        <v>6754</v>
      </c>
      <c r="H2025" s="2" t="str">
        <f>"2006"</f>
        <v>2006</v>
      </c>
      <c r="I2025" t="s">
        <v>14</v>
      </c>
      <c r="J2025" t="s">
        <v>15</v>
      </c>
    </row>
    <row r="2026" spans="1:10">
      <c r="A2026" s="2" t="str">
        <f>"2023"</f>
        <v>2023</v>
      </c>
      <c r="B2026" s="2" t="s">
        <v>9</v>
      </c>
      <c r="C2026" s="2" t="str">
        <f>"1 (1)"</f>
        <v>1 (1)</v>
      </c>
      <c r="D2026" s="2" t="s">
        <v>6755</v>
      </c>
      <c r="E2026" s="5" t="s">
        <v>6756</v>
      </c>
      <c r="F2026" s="3" t="s">
        <v>6757</v>
      </c>
      <c r="G2026" s="3" t="s">
        <v>6758</v>
      </c>
      <c r="H2026" s="2" t="str">
        <f>"2012"</f>
        <v>2012</v>
      </c>
      <c r="I2026" t="s">
        <v>14</v>
      </c>
      <c r="J2026" t="s">
        <v>15</v>
      </c>
    </row>
    <row r="2027" spans="1:10">
      <c r="A2027" s="2" t="str">
        <f>"2024"</f>
        <v>2024</v>
      </c>
      <c r="B2027" s="2" t="s">
        <v>9</v>
      </c>
      <c r="C2027" s="2" t="str">
        <f>"1 (1)"</f>
        <v>1 (1)</v>
      </c>
      <c r="D2027" s="2" t="s">
        <v>6759</v>
      </c>
      <c r="E2027" s="5" t="s">
        <v>6760</v>
      </c>
      <c r="F2027" s="3" t="s">
        <v>6761</v>
      </c>
      <c r="G2027" s="3" t="s">
        <v>6762</v>
      </c>
      <c r="H2027" s="2" t="str">
        <f>"2012"</f>
        <v>2012</v>
      </c>
      <c r="I2027" t="s">
        <v>14</v>
      </c>
      <c r="J2027" t="s">
        <v>15</v>
      </c>
    </row>
    <row r="2028" spans="1:10">
      <c r="A2028" s="2" t="str">
        <f>"2025"</f>
        <v>2025</v>
      </c>
      <c r="B2028" s="2" t="s">
        <v>9</v>
      </c>
      <c r="C2028" s="2" t="str">
        <f>"1 (1)"</f>
        <v>1 (1)</v>
      </c>
      <c r="D2028" s="2" t="s">
        <v>6763</v>
      </c>
      <c r="E2028" s="5" t="s">
        <v>6764</v>
      </c>
      <c r="F2028" s="3" t="s">
        <v>6765</v>
      </c>
      <c r="G2028" s="3" t="s">
        <v>5087</v>
      </c>
      <c r="H2028" s="2" t="str">
        <f>"2013"</f>
        <v>2013</v>
      </c>
      <c r="I2028" t="s">
        <v>14</v>
      </c>
      <c r="J2028" t="s">
        <v>15</v>
      </c>
    </row>
    <row r="2029" spans="1:10">
      <c r="A2029" s="2" t="str">
        <f>"2026"</f>
        <v>2026</v>
      </c>
      <c r="B2029" s="2" t="s">
        <v>9</v>
      </c>
      <c r="C2029" s="2" t="str">
        <f>"1 (1)"</f>
        <v>1 (1)</v>
      </c>
      <c r="D2029" s="2" t="s">
        <v>6766</v>
      </c>
      <c r="E2029" s="5" t="s">
        <v>6767</v>
      </c>
      <c r="F2029" s="3" t="s">
        <v>6768</v>
      </c>
      <c r="G2029" s="3" t="s">
        <v>6620</v>
      </c>
      <c r="H2029" s="2" t="str">
        <f>"2013"</f>
        <v>2013</v>
      </c>
      <c r="I2029" t="s">
        <v>14</v>
      </c>
      <c r="J2029" t="s">
        <v>15</v>
      </c>
    </row>
    <row r="2030" spans="1:10">
      <c r="A2030" s="2" t="str">
        <f>"2027"</f>
        <v>2027</v>
      </c>
      <c r="B2030" s="2" t="s">
        <v>9</v>
      </c>
      <c r="C2030" s="2" t="str">
        <f>"1 (1)"</f>
        <v>1 (1)</v>
      </c>
      <c r="D2030" s="2" t="s">
        <v>6769</v>
      </c>
      <c r="E2030" s="5" t="s">
        <v>6770</v>
      </c>
      <c r="F2030" s="3" t="s">
        <v>6771</v>
      </c>
      <c r="G2030" s="3" t="s">
        <v>58</v>
      </c>
      <c r="H2030" s="2" t="str">
        <f>"2012"</f>
        <v>2012</v>
      </c>
      <c r="I2030" t="s">
        <v>14</v>
      </c>
      <c r="J2030" t="s">
        <v>15</v>
      </c>
    </row>
    <row r="2031" spans="1:10">
      <c r="A2031" s="2" t="str">
        <f>"2028"</f>
        <v>2028</v>
      </c>
      <c r="B2031" s="2" t="s">
        <v>9</v>
      </c>
      <c r="C2031" s="2" t="str">
        <f>"1 (1)"</f>
        <v>1 (1)</v>
      </c>
      <c r="D2031" s="2" t="s">
        <v>6772</v>
      </c>
      <c r="E2031" s="5" t="s">
        <v>6773</v>
      </c>
      <c r="F2031" s="3" t="s">
        <v>6774</v>
      </c>
      <c r="G2031" s="3" t="s">
        <v>5301</v>
      </c>
      <c r="H2031" s="2" t="str">
        <f>"2011"</f>
        <v>2011</v>
      </c>
      <c r="I2031" t="s">
        <v>14</v>
      </c>
      <c r="J2031" t="s">
        <v>15</v>
      </c>
    </row>
    <row r="2032" spans="1:10">
      <c r="A2032" s="2" t="str">
        <f>"2029"</f>
        <v>2029</v>
      </c>
      <c r="B2032" s="2" t="s">
        <v>9</v>
      </c>
      <c r="C2032" s="2" t="str">
        <f>"1 (1)"</f>
        <v>1 (1)</v>
      </c>
      <c r="D2032" s="2" t="s">
        <v>6775</v>
      </c>
      <c r="E2032" s="5" t="s">
        <v>6776</v>
      </c>
      <c r="F2032" s="3" t="s">
        <v>6777</v>
      </c>
      <c r="G2032" s="3" t="s">
        <v>6518</v>
      </c>
      <c r="H2032" s="2" t="str">
        <f>"2013"</f>
        <v>2013</v>
      </c>
      <c r="I2032" t="s">
        <v>14</v>
      </c>
      <c r="J2032" t="s">
        <v>15</v>
      </c>
    </row>
    <row r="2033" spans="1:10">
      <c r="A2033" s="2" t="str">
        <f>"2030"</f>
        <v>2030</v>
      </c>
      <c r="B2033" s="2" t="s">
        <v>9</v>
      </c>
      <c r="C2033" s="2" t="str">
        <f>"1 (1)"</f>
        <v>1 (1)</v>
      </c>
      <c r="D2033" s="2" t="s">
        <v>6778</v>
      </c>
      <c r="E2033" s="5" t="s">
        <v>6779</v>
      </c>
      <c r="F2033" s="3" t="s">
        <v>6780</v>
      </c>
      <c r="G2033" s="3" t="s">
        <v>876</v>
      </c>
      <c r="H2033" s="2" t="str">
        <f>"2013"</f>
        <v>2013</v>
      </c>
      <c r="I2033" t="s">
        <v>14</v>
      </c>
      <c r="J2033" t="s">
        <v>15</v>
      </c>
    </row>
    <row r="2034" spans="1:10">
      <c r="A2034" s="2" t="str">
        <f>"2031"</f>
        <v>2031</v>
      </c>
      <c r="B2034" s="2" t="s">
        <v>9</v>
      </c>
      <c r="C2034" s="2" t="str">
        <f>"1 (1)"</f>
        <v>1 (1)</v>
      </c>
      <c r="D2034" s="2" t="s">
        <v>6781</v>
      </c>
      <c r="E2034" s="5" t="s">
        <v>6782</v>
      </c>
      <c r="F2034" s="3" t="s">
        <v>6783</v>
      </c>
      <c r="G2034" s="3" t="s">
        <v>1010</v>
      </c>
      <c r="H2034" s="2" t="str">
        <f>"2013"</f>
        <v>2013</v>
      </c>
      <c r="I2034" t="s">
        <v>14</v>
      </c>
      <c r="J2034" t="s">
        <v>15</v>
      </c>
    </row>
    <row r="2035" spans="1:10">
      <c r="A2035" s="2" t="str">
        <f>"2032"</f>
        <v>2032</v>
      </c>
      <c r="B2035" s="2" t="s">
        <v>9</v>
      </c>
      <c r="C2035" s="2" t="str">
        <f>"1 (1)"</f>
        <v>1 (1)</v>
      </c>
      <c r="D2035" s="2" t="s">
        <v>6784</v>
      </c>
      <c r="E2035" s="5" t="s">
        <v>6785</v>
      </c>
      <c r="F2035" s="3" t="s">
        <v>6783</v>
      </c>
      <c r="G2035" s="3" t="s">
        <v>1010</v>
      </c>
      <c r="H2035" s="2" t="str">
        <f>"2013"</f>
        <v>2013</v>
      </c>
      <c r="I2035" t="s">
        <v>14</v>
      </c>
      <c r="J2035" t="s">
        <v>15</v>
      </c>
    </row>
    <row r="2036" spans="1:10">
      <c r="A2036" s="2" t="str">
        <f>"2033"</f>
        <v>2033</v>
      </c>
      <c r="B2036" s="2" t="s">
        <v>9</v>
      </c>
      <c r="C2036" s="2" t="str">
        <f>"1 (1)"</f>
        <v>1 (1)</v>
      </c>
      <c r="D2036" s="2" t="s">
        <v>6786</v>
      </c>
      <c r="E2036" s="5" t="s">
        <v>6787</v>
      </c>
      <c r="F2036" s="3" t="s">
        <v>3458</v>
      </c>
      <c r="G2036" s="3" t="s">
        <v>6788</v>
      </c>
      <c r="H2036" s="2" t="str">
        <f>"2013"</f>
        <v>2013</v>
      </c>
      <c r="I2036" t="s">
        <v>14</v>
      </c>
      <c r="J2036" t="s">
        <v>15</v>
      </c>
    </row>
    <row r="2037" spans="1:10">
      <c r="A2037" s="2" t="str">
        <f>"2034"</f>
        <v>2034</v>
      </c>
      <c r="B2037" s="2" t="s">
        <v>9</v>
      </c>
      <c r="C2037" s="2" t="str">
        <f>"1 (1)"</f>
        <v>1 (1)</v>
      </c>
      <c r="D2037" s="2" t="s">
        <v>6789</v>
      </c>
      <c r="E2037" s="5" t="s">
        <v>6790</v>
      </c>
      <c r="F2037" s="3" t="s">
        <v>6791</v>
      </c>
      <c r="G2037" s="3" t="s">
        <v>6792</v>
      </c>
      <c r="H2037" s="2" t="str">
        <f>"2013"</f>
        <v>2013</v>
      </c>
      <c r="I2037" t="s">
        <v>14</v>
      </c>
      <c r="J2037" t="s">
        <v>15</v>
      </c>
    </row>
    <row r="2038" spans="1:10">
      <c r="A2038" s="2" t="str">
        <f>"2035"</f>
        <v>2035</v>
      </c>
      <c r="B2038" s="2" t="s">
        <v>9</v>
      </c>
      <c r="C2038" s="2" t="str">
        <f>"1 (1)"</f>
        <v>1 (1)</v>
      </c>
      <c r="D2038" s="2" t="s">
        <v>6793</v>
      </c>
      <c r="E2038" s="5" t="s">
        <v>6794</v>
      </c>
      <c r="F2038" s="3" t="s">
        <v>6795</v>
      </c>
      <c r="G2038" s="3" t="s">
        <v>98</v>
      </c>
      <c r="H2038" s="2" t="str">
        <f>"2012"</f>
        <v>2012</v>
      </c>
      <c r="I2038" t="s">
        <v>14</v>
      </c>
      <c r="J2038" t="s">
        <v>15</v>
      </c>
    </row>
    <row r="2039" spans="1:10">
      <c r="A2039" s="2" t="str">
        <f>"2036"</f>
        <v>2036</v>
      </c>
      <c r="B2039" s="2" t="s">
        <v>9</v>
      </c>
      <c r="C2039" s="2" t="str">
        <f>"1 (1)"</f>
        <v>1 (1)</v>
      </c>
      <c r="D2039" s="2" t="s">
        <v>6796</v>
      </c>
      <c r="E2039" s="5" t="s">
        <v>6797</v>
      </c>
      <c r="F2039" s="3" t="s">
        <v>6798</v>
      </c>
      <c r="G2039" s="3" t="s">
        <v>1675</v>
      </c>
      <c r="H2039" s="2" t="str">
        <f>"2013"</f>
        <v>2013</v>
      </c>
      <c r="I2039" t="s">
        <v>14</v>
      </c>
      <c r="J2039" t="s">
        <v>15</v>
      </c>
    </row>
    <row r="2040" spans="1:10">
      <c r="A2040" s="2" t="str">
        <f>"2037"</f>
        <v>2037</v>
      </c>
      <c r="B2040" s="2" t="s">
        <v>9</v>
      </c>
      <c r="C2040" s="2" t="str">
        <f>"1 (1)"</f>
        <v>1 (1)</v>
      </c>
      <c r="D2040" s="2" t="s">
        <v>6799</v>
      </c>
      <c r="E2040" s="5" t="s">
        <v>6800</v>
      </c>
      <c r="F2040" s="3" t="s">
        <v>6801</v>
      </c>
      <c r="G2040" s="3" t="s">
        <v>1606</v>
      </c>
      <c r="H2040" s="2" t="str">
        <f>"2012"</f>
        <v>2012</v>
      </c>
      <c r="I2040" t="s">
        <v>14</v>
      </c>
      <c r="J2040" t="s">
        <v>15</v>
      </c>
    </row>
    <row r="2041" spans="1:10">
      <c r="A2041" s="2" t="str">
        <f>"2038"</f>
        <v>2038</v>
      </c>
      <c r="B2041" s="2" t="s">
        <v>9</v>
      </c>
      <c r="C2041" s="2" t="str">
        <f>"1 (1)"</f>
        <v>1 (1)</v>
      </c>
      <c r="D2041" s="2" t="s">
        <v>6802</v>
      </c>
      <c r="E2041" s="5" t="s">
        <v>6803</v>
      </c>
      <c r="F2041" s="3" t="s">
        <v>6804</v>
      </c>
      <c r="G2041" s="3" t="s">
        <v>4658</v>
      </c>
      <c r="H2041" s="2" t="str">
        <f>"2012"</f>
        <v>2012</v>
      </c>
      <c r="I2041" t="s">
        <v>14</v>
      </c>
      <c r="J2041" t="s">
        <v>15</v>
      </c>
    </row>
    <row r="2042" spans="1:10">
      <c r="A2042" s="2" t="str">
        <f>"2039"</f>
        <v>2039</v>
      </c>
      <c r="B2042" s="2" t="s">
        <v>9</v>
      </c>
      <c r="C2042" s="2" t="str">
        <f>"1 (1)"</f>
        <v>1 (1)</v>
      </c>
      <c r="D2042" s="2" t="s">
        <v>6805</v>
      </c>
      <c r="E2042" s="5" t="s">
        <v>6806</v>
      </c>
      <c r="F2042" s="3" t="s">
        <v>6807</v>
      </c>
      <c r="G2042" s="3" t="s">
        <v>1831</v>
      </c>
      <c r="H2042" s="2" t="str">
        <f>"2013"</f>
        <v>2013</v>
      </c>
      <c r="I2042" t="s">
        <v>14</v>
      </c>
      <c r="J2042" t="s">
        <v>15</v>
      </c>
    </row>
    <row r="2043" spans="1:10">
      <c r="A2043" s="2" t="str">
        <f>"2040"</f>
        <v>2040</v>
      </c>
      <c r="B2043" s="2" t="s">
        <v>9</v>
      </c>
      <c r="C2043" s="2" t="str">
        <f>"1 (1)"</f>
        <v>1 (1)</v>
      </c>
      <c r="D2043" s="2" t="s">
        <v>6808</v>
      </c>
      <c r="E2043" s="5" t="s">
        <v>6809</v>
      </c>
      <c r="F2043" s="3" t="s">
        <v>6810</v>
      </c>
      <c r="G2043" s="3" t="s">
        <v>86</v>
      </c>
      <c r="H2043" s="2" t="str">
        <f>"2013"</f>
        <v>2013</v>
      </c>
      <c r="I2043" t="s">
        <v>14</v>
      </c>
      <c r="J2043" t="s">
        <v>15</v>
      </c>
    </row>
    <row r="2044" spans="1:10">
      <c r="A2044" s="2" t="str">
        <f>"2041"</f>
        <v>2041</v>
      </c>
      <c r="B2044" s="2" t="s">
        <v>9</v>
      </c>
      <c r="C2044" s="2" t="str">
        <f>"1 (1)"</f>
        <v>1 (1)</v>
      </c>
      <c r="D2044" s="2" t="s">
        <v>6811</v>
      </c>
      <c r="E2044" s="5" t="s">
        <v>6812</v>
      </c>
      <c r="F2044" s="3" t="s">
        <v>6813</v>
      </c>
      <c r="G2044" s="3" t="s">
        <v>6814</v>
      </c>
      <c r="H2044" s="2" t="str">
        <f>"2013"</f>
        <v>2013</v>
      </c>
      <c r="I2044" t="s">
        <v>14</v>
      </c>
      <c r="J2044" t="s">
        <v>15</v>
      </c>
    </row>
    <row r="2045" spans="1:10">
      <c r="A2045" s="2" t="str">
        <f>"2042"</f>
        <v>2042</v>
      </c>
      <c r="B2045" s="2" t="s">
        <v>9</v>
      </c>
      <c r="C2045" s="2" t="str">
        <f>"1 (1)"</f>
        <v>1 (1)</v>
      </c>
      <c r="D2045" s="2" t="s">
        <v>6815</v>
      </c>
      <c r="E2045" s="5" t="s">
        <v>6816</v>
      </c>
      <c r="F2045" s="3" t="s">
        <v>6817</v>
      </c>
      <c r="G2045" s="3" t="s">
        <v>4455</v>
      </c>
      <c r="H2045" s="2" t="str">
        <f>"2012"</f>
        <v>2012</v>
      </c>
      <c r="I2045" t="s">
        <v>14</v>
      </c>
      <c r="J2045" t="s">
        <v>15</v>
      </c>
    </row>
    <row r="2046" spans="1:10">
      <c r="A2046" s="2" t="str">
        <f>"2043"</f>
        <v>2043</v>
      </c>
      <c r="B2046" s="2" t="s">
        <v>9</v>
      </c>
      <c r="C2046" s="2" t="str">
        <f>"1 (1)"</f>
        <v>1 (1)</v>
      </c>
      <c r="D2046" s="2" t="s">
        <v>6818</v>
      </c>
      <c r="E2046" s="5" t="s">
        <v>6819</v>
      </c>
      <c r="F2046" s="3" t="s">
        <v>6820</v>
      </c>
      <c r="G2046" s="3" t="s">
        <v>6821</v>
      </c>
      <c r="H2046" s="2" t="str">
        <f>"2013"</f>
        <v>2013</v>
      </c>
      <c r="I2046" t="s">
        <v>14</v>
      </c>
      <c r="J2046" t="s">
        <v>15</v>
      </c>
    </row>
    <row r="2047" spans="1:10">
      <c r="A2047" s="2" t="str">
        <f>"2044"</f>
        <v>2044</v>
      </c>
      <c r="B2047" s="2" t="s">
        <v>9</v>
      </c>
      <c r="C2047" s="2" t="str">
        <f>"1 (1)"</f>
        <v>1 (1)</v>
      </c>
      <c r="D2047" s="2" t="s">
        <v>6822</v>
      </c>
      <c r="E2047" s="5" t="s">
        <v>6823</v>
      </c>
      <c r="F2047" s="3" t="s">
        <v>6824</v>
      </c>
      <c r="G2047" s="3" t="s">
        <v>6814</v>
      </c>
      <c r="H2047" s="2" t="str">
        <f>"2011"</f>
        <v>2011</v>
      </c>
      <c r="I2047" t="s">
        <v>14</v>
      </c>
      <c r="J2047" t="s">
        <v>15</v>
      </c>
    </row>
    <row r="2048" spans="1:10">
      <c r="A2048" s="2" t="str">
        <f>"2045"</f>
        <v>2045</v>
      </c>
      <c r="B2048" s="2" t="s">
        <v>9</v>
      </c>
      <c r="C2048" s="2" t="str">
        <f>"1 (1)"</f>
        <v>1 (1)</v>
      </c>
      <c r="D2048" s="2" t="s">
        <v>6825</v>
      </c>
      <c r="E2048" s="5" t="s">
        <v>6826</v>
      </c>
      <c r="F2048" s="3" t="s">
        <v>6827</v>
      </c>
      <c r="G2048" s="3" t="s">
        <v>6828</v>
      </c>
      <c r="H2048" s="2" t="str">
        <f>"2012"</f>
        <v>2012</v>
      </c>
      <c r="I2048" t="s">
        <v>14</v>
      </c>
      <c r="J2048" t="s">
        <v>15</v>
      </c>
    </row>
    <row r="2049" spans="1:10">
      <c r="A2049" s="2" t="str">
        <f>"2046"</f>
        <v>2046</v>
      </c>
      <c r="B2049" s="2" t="s">
        <v>9</v>
      </c>
      <c r="C2049" s="2" t="str">
        <f>"1 (1)"</f>
        <v>1 (1)</v>
      </c>
      <c r="D2049" s="2" t="s">
        <v>6829</v>
      </c>
      <c r="E2049" s="5" t="s">
        <v>6830</v>
      </c>
      <c r="F2049" s="3" t="s">
        <v>6831</v>
      </c>
      <c r="G2049" s="3" t="s">
        <v>6832</v>
      </c>
      <c r="H2049" s="2" t="str">
        <f>"2011"</f>
        <v>2011</v>
      </c>
      <c r="I2049" t="s">
        <v>14</v>
      </c>
      <c r="J2049" t="s">
        <v>15</v>
      </c>
    </row>
    <row r="2050" spans="1:10">
      <c r="A2050" s="2" t="str">
        <f>"2047"</f>
        <v>2047</v>
      </c>
      <c r="B2050" s="2" t="s">
        <v>9</v>
      </c>
      <c r="C2050" s="2" t="str">
        <f>"1 (1)"</f>
        <v>1 (1)</v>
      </c>
      <c r="D2050" s="2" t="s">
        <v>6833</v>
      </c>
      <c r="E2050" s="5" t="s">
        <v>6834</v>
      </c>
      <c r="F2050" s="3" t="s">
        <v>6835</v>
      </c>
      <c r="G2050" s="3" t="s">
        <v>6836</v>
      </c>
      <c r="H2050" s="2" t="str">
        <f>"2013"</f>
        <v>2013</v>
      </c>
      <c r="I2050" t="s">
        <v>14</v>
      </c>
      <c r="J2050" t="s">
        <v>15</v>
      </c>
    </row>
    <row r="2051" spans="1:10">
      <c r="A2051" s="2" t="str">
        <f>"2048"</f>
        <v>2048</v>
      </c>
      <c r="B2051" s="2" t="s">
        <v>9</v>
      </c>
      <c r="C2051" s="2" t="str">
        <f>"1 (1)"</f>
        <v>1 (1)</v>
      </c>
      <c r="D2051" s="2" t="s">
        <v>6837</v>
      </c>
      <c r="E2051" s="5" t="s">
        <v>6838</v>
      </c>
      <c r="F2051" s="3" t="s">
        <v>6839</v>
      </c>
      <c r="G2051" s="3" t="s">
        <v>1133</v>
      </c>
      <c r="H2051" s="2" t="str">
        <f>"2011"</f>
        <v>2011</v>
      </c>
      <c r="I2051" t="s">
        <v>14</v>
      </c>
      <c r="J2051" t="s">
        <v>15</v>
      </c>
    </row>
    <row r="2052" spans="1:10">
      <c r="A2052" s="2" t="str">
        <f>"2049"</f>
        <v>2049</v>
      </c>
      <c r="B2052" s="2" t="s">
        <v>9</v>
      </c>
      <c r="C2052" s="2" t="str">
        <f>"1 (1)"</f>
        <v>1 (1)</v>
      </c>
      <c r="D2052" s="2" t="s">
        <v>6840</v>
      </c>
      <c r="E2052" s="5" t="s">
        <v>6841</v>
      </c>
      <c r="F2052" s="3" t="s">
        <v>6842</v>
      </c>
      <c r="G2052" s="3" t="s">
        <v>6843</v>
      </c>
      <c r="H2052" s="2" t="str">
        <f>"2011"</f>
        <v>2011</v>
      </c>
      <c r="I2052" t="s">
        <v>14</v>
      </c>
      <c r="J2052" t="s">
        <v>15</v>
      </c>
    </row>
    <row r="2053" spans="1:10">
      <c r="A2053" s="2" t="str">
        <f>"2050"</f>
        <v>2050</v>
      </c>
      <c r="B2053" s="2" t="s">
        <v>9</v>
      </c>
      <c r="C2053" s="2" t="str">
        <f>"1 (1)"</f>
        <v>1 (1)</v>
      </c>
      <c r="D2053" s="2" t="s">
        <v>6844</v>
      </c>
      <c r="E2053" s="5" t="s">
        <v>6845</v>
      </c>
      <c r="F2053" s="3" t="s">
        <v>6846</v>
      </c>
      <c r="G2053" s="3" t="s">
        <v>6620</v>
      </c>
      <c r="H2053" s="2" t="str">
        <f>"2012"</f>
        <v>2012</v>
      </c>
      <c r="I2053" t="s">
        <v>14</v>
      </c>
      <c r="J2053" t="s">
        <v>15</v>
      </c>
    </row>
    <row r="2054" spans="1:10">
      <c r="A2054" s="2" t="str">
        <f>"2051"</f>
        <v>2051</v>
      </c>
      <c r="B2054" s="2" t="s">
        <v>9</v>
      </c>
      <c r="C2054" s="2" t="str">
        <f>"1 (1)"</f>
        <v>1 (1)</v>
      </c>
      <c r="D2054" s="2" t="s">
        <v>6847</v>
      </c>
      <c r="E2054" s="5" t="s">
        <v>6848</v>
      </c>
      <c r="F2054" s="3" t="s">
        <v>6849</v>
      </c>
      <c r="G2054" s="3" t="s">
        <v>6850</v>
      </c>
      <c r="H2054" s="2" t="str">
        <f>"2006"</f>
        <v>2006</v>
      </c>
      <c r="I2054" t="s">
        <v>14</v>
      </c>
      <c r="J2054" t="s">
        <v>15</v>
      </c>
    </row>
    <row r="2055" spans="1:10">
      <c r="A2055" s="2" t="str">
        <f>"2052"</f>
        <v>2052</v>
      </c>
      <c r="B2055" s="2" t="s">
        <v>9</v>
      </c>
      <c r="C2055" s="2" t="str">
        <f>"1 (1)"</f>
        <v>1 (1)</v>
      </c>
      <c r="D2055" s="2" t="s">
        <v>6851</v>
      </c>
      <c r="E2055" s="5" t="s">
        <v>6852</v>
      </c>
      <c r="F2055" s="3" t="s">
        <v>6853</v>
      </c>
      <c r="G2055" s="3" t="s">
        <v>4459</v>
      </c>
      <c r="H2055" s="2" t="str">
        <f>"2011"</f>
        <v>2011</v>
      </c>
      <c r="I2055" t="s">
        <v>14</v>
      </c>
      <c r="J2055" t="s">
        <v>15</v>
      </c>
    </row>
    <row r="2056" spans="1:10">
      <c r="A2056" s="2" t="str">
        <f>"2053"</f>
        <v>2053</v>
      </c>
      <c r="B2056" s="2" t="s">
        <v>9</v>
      </c>
      <c r="C2056" s="2" t="str">
        <f>"1 (1)"</f>
        <v>1 (1)</v>
      </c>
      <c r="D2056" s="2" t="s">
        <v>6854</v>
      </c>
      <c r="E2056" s="5" t="s">
        <v>6855</v>
      </c>
      <c r="F2056" s="3" t="s">
        <v>6856</v>
      </c>
      <c r="G2056" s="3" t="s">
        <v>6857</v>
      </c>
      <c r="H2056" s="2" t="str">
        <f>"2012"</f>
        <v>2012</v>
      </c>
      <c r="I2056" t="s">
        <v>14</v>
      </c>
      <c r="J2056" t="s">
        <v>15</v>
      </c>
    </row>
    <row r="2057" spans="1:10">
      <c r="A2057" s="2" t="str">
        <f>"2054"</f>
        <v>2054</v>
      </c>
      <c r="B2057" s="2" t="s">
        <v>9</v>
      </c>
      <c r="C2057" s="2" t="str">
        <f>"1 (1)"</f>
        <v>1 (1)</v>
      </c>
      <c r="D2057" s="2" t="s">
        <v>6858</v>
      </c>
      <c r="E2057" s="5" t="s">
        <v>549</v>
      </c>
      <c r="F2057" s="3" t="s">
        <v>526</v>
      </c>
      <c r="G2057" s="3" t="s">
        <v>6859</v>
      </c>
      <c r="H2057" s="2" t="str">
        <f>"2008-2011"</f>
        <v>2008-2011</v>
      </c>
      <c r="I2057" t="s">
        <v>14</v>
      </c>
      <c r="J2057" t="s">
        <v>15</v>
      </c>
    </row>
    <row r="2058" spans="1:10">
      <c r="A2058" s="2" t="str">
        <f>"2055"</f>
        <v>2055</v>
      </c>
      <c r="B2058" s="2" t="s">
        <v>9</v>
      </c>
      <c r="C2058" s="2" t="str">
        <f>"1 (1)"</f>
        <v>1 (1)</v>
      </c>
      <c r="D2058" s="2" t="s">
        <v>6860</v>
      </c>
      <c r="E2058" s="5" t="s">
        <v>551</v>
      </c>
      <c r="F2058" s="3" t="s">
        <v>526</v>
      </c>
      <c r="G2058" s="3" t="s">
        <v>6859</v>
      </c>
      <c r="H2058" s="2" t="str">
        <f>"2012"</f>
        <v>2012</v>
      </c>
      <c r="I2058" t="s">
        <v>14</v>
      </c>
      <c r="J2058" t="s">
        <v>15</v>
      </c>
    </row>
    <row r="2059" spans="1:10">
      <c r="A2059" s="2" t="str">
        <f>"2056"</f>
        <v>2056</v>
      </c>
      <c r="B2059" s="2" t="s">
        <v>9</v>
      </c>
      <c r="C2059" s="2" t="str">
        <f>"1 (1)"</f>
        <v>1 (1)</v>
      </c>
      <c r="D2059" s="2" t="s">
        <v>6861</v>
      </c>
      <c r="E2059" s="5" t="s">
        <v>6862</v>
      </c>
      <c r="F2059" s="3" t="s">
        <v>526</v>
      </c>
      <c r="G2059" s="3" t="s">
        <v>6859</v>
      </c>
      <c r="H2059" s="2" t="str">
        <f>"2012"</f>
        <v>2012</v>
      </c>
      <c r="I2059" t="s">
        <v>14</v>
      </c>
      <c r="J2059" t="s">
        <v>15</v>
      </c>
    </row>
    <row r="2060" spans="1:10">
      <c r="A2060" s="2" t="str">
        <f>"2057"</f>
        <v>2057</v>
      </c>
      <c r="B2060" s="2" t="s">
        <v>9</v>
      </c>
      <c r="C2060" s="2" t="str">
        <f>"1 (1)"</f>
        <v>1 (1)</v>
      </c>
      <c r="D2060" s="2" t="s">
        <v>6863</v>
      </c>
      <c r="E2060" s="5" t="s">
        <v>6864</v>
      </c>
      <c r="F2060" s="3" t="s">
        <v>526</v>
      </c>
      <c r="G2060" s="3" t="s">
        <v>6859</v>
      </c>
      <c r="H2060" s="2" t="str">
        <f>"2012"</f>
        <v>2012</v>
      </c>
      <c r="I2060" t="s">
        <v>14</v>
      </c>
      <c r="J2060" t="s">
        <v>15</v>
      </c>
    </row>
    <row r="2061" spans="1:10">
      <c r="A2061" s="2" t="str">
        <f>"2058"</f>
        <v>2058</v>
      </c>
      <c r="B2061" s="2" t="s">
        <v>9</v>
      </c>
      <c r="C2061" s="2" t="str">
        <f>"1 (1)"</f>
        <v>1 (1)</v>
      </c>
      <c r="D2061" s="2" t="s">
        <v>6865</v>
      </c>
      <c r="E2061" s="5" t="s">
        <v>6866</v>
      </c>
      <c r="F2061" s="3" t="s">
        <v>6867</v>
      </c>
      <c r="G2061" s="3" t="s">
        <v>6616</v>
      </c>
      <c r="H2061" s="2" t="str">
        <f>"2013"</f>
        <v>2013</v>
      </c>
      <c r="I2061" t="s">
        <v>14</v>
      </c>
      <c r="J2061" t="s">
        <v>15</v>
      </c>
    </row>
    <row r="2062" spans="1:10">
      <c r="A2062" s="2" t="str">
        <f>"2059"</f>
        <v>2059</v>
      </c>
      <c r="B2062" s="2" t="s">
        <v>9</v>
      </c>
      <c r="C2062" s="2" t="str">
        <f>"1 (1)"</f>
        <v>1 (1)</v>
      </c>
      <c r="D2062" s="2" t="s">
        <v>6868</v>
      </c>
      <c r="E2062" s="5" t="s">
        <v>6869</v>
      </c>
      <c r="F2062" s="3" t="s">
        <v>6870</v>
      </c>
      <c r="G2062" s="3" t="s">
        <v>6871</v>
      </c>
      <c r="H2062" s="2" t="str">
        <f>"2012"</f>
        <v>2012</v>
      </c>
      <c r="I2062" t="s">
        <v>14</v>
      </c>
      <c r="J2062" t="s">
        <v>15</v>
      </c>
    </row>
    <row r="2063" spans="1:10">
      <c r="A2063" s="2" t="str">
        <f>"2060"</f>
        <v>2060</v>
      </c>
      <c r="B2063" s="2" t="s">
        <v>9</v>
      </c>
      <c r="C2063" s="2" t="str">
        <f>"1 (1)"</f>
        <v>1 (1)</v>
      </c>
      <c r="D2063" s="2" t="s">
        <v>6872</v>
      </c>
      <c r="E2063" s="5" t="s">
        <v>6873</v>
      </c>
      <c r="F2063" s="3" t="s">
        <v>6874</v>
      </c>
      <c r="G2063" s="3" t="s">
        <v>6875</v>
      </c>
      <c r="H2063" s="2" t="str">
        <f>"2008"</f>
        <v>2008</v>
      </c>
      <c r="I2063" t="s">
        <v>14</v>
      </c>
      <c r="J2063" t="s">
        <v>15</v>
      </c>
    </row>
    <row r="2064" spans="1:10">
      <c r="A2064" s="2" t="str">
        <f>"2061"</f>
        <v>2061</v>
      </c>
      <c r="B2064" s="2" t="s">
        <v>9</v>
      </c>
      <c r="C2064" s="2" t="str">
        <f>"1 (1)"</f>
        <v>1 (1)</v>
      </c>
      <c r="D2064" s="2" t="s">
        <v>6876</v>
      </c>
      <c r="E2064" s="5" t="s">
        <v>6877</v>
      </c>
      <c r="F2064" s="3" t="s">
        <v>6878</v>
      </c>
      <c r="G2064" s="3" t="s">
        <v>134</v>
      </c>
      <c r="H2064" s="2" t="str">
        <f>"2013"</f>
        <v>2013</v>
      </c>
      <c r="I2064" t="s">
        <v>14</v>
      </c>
      <c r="J2064" t="s">
        <v>15</v>
      </c>
    </row>
    <row r="2065" spans="1:10">
      <c r="A2065" s="2" t="str">
        <f>"2062"</f>
        <v>2062</v>
      </c>
      <c r="B2065" s="2" t="s">
        <v>9</v>
      </c>
      <c r="C2065" s="2" t="str">
        <f>"1 (1)"</f>
        <v>1 (1)</v>
      </c>
      <c r="D2065" s="2" t="s">
        <v>6879</v>
      </c>
      <c r="E2065" s="5" t="s">
        <v>6880</v>
      </c>
      <c r="F2065" s="3" t="s">
        <v>6881</v>
      </c>
      <c r="G2065" s="3" t="s">
        <v>6882</v>
      </c>
      <c r="H2065" s="2" t="str">
        <f>"2013"</f>
        <v>2013</v>
      </c>
      <c r="I2065" t="s">
        <v>14</v>
      </c>
      <c r="J2065" t="s">
        <v>15</v>
      </c>
    </row>
    <row r="2066" spans="1:10">
      <c r="A2066" s="2" t="str">
        <f>"2063"</f>
        <v>2063</v>
      </c>
      <c r="B2066" s="2" t="s">
        <v>9</v>
      </c>
      <c r="C2066" s="2" t="str">
        <f>"1 (1)"</f>
        <v>1 (1)</v>
      </c>
      <c r="D2066" s="2" t="s">
        <v>6883</v>
      </c>
      <c r="E2066" s="5" t="s">
        <v>6884</v>
      </c>
      <c r="F2066" s="3" t="s">
        <v>6885</v>
      </c>
      <c r="G2066" s="3" t="s">
        <v>6886</v>
      </c>
      <c r="H2066" s="2" t="str">
        <f>"2012"</f>
        <v>2012</v>
      </c>
      <c r="I2066" t="s">
        <v>14</v>
      </c>
      <c r="J2066" t="s">
        <v>15</v>
      </c>
    </row>
    <row r="2067" spans="1:10">
      <c r="A2067" s="2" t="str">
        <f>"2064"</f>
        <v>2064</v>
      </c>
      <c r="B2067" s="2" t="s">
        <v>9</v>
      </c>
      <c r="C2067" s="2" t="str">
        <f>"1 (1)"</f>
        <v>1 (1)</v>
      </c>
      <c r="D2067" s="2" t="s">
        <v>6887</v>
      </c>
      <c r="E2067" s="5" t="s">
        <v>6888</v>
      </c>
      <c r="F2067" s="3" t="s">
        <v>6889</v>
      </c>
      <c r="G2067" s="3" t="s">
        <v>6890</v>
      </c>
      <c r="H2067" s="2" t="str">
        <f>"2013"</f>
        <v>2013</v>
      </c>
      <c r="I2067" t="s">
        <v>14</v>
      </c>
      <c r="J2067" t="s">
        <v>15</v>
      </c>
    </row>
    <row r="2068" spans="1:10">
      <c r="A2068" s="2" t="str">
        <f>"2065"</f>
        <v>2065</v>
      </c>
      <c r="B2068" s="2" t="s">
        <v>9</v>
      </c>
      <c r="C2068" s="2" t="str">
        <f>"1 (1)"</f>
        <v>1 (1)</v>
      </c>
      <c r="D2068" s="2" t="s">
        <v>6891</v>
      </c>
      <c r="E2068" s="5" t="s">
        <v>6892</v>
      </c>
      <c r="F2068" s="3" t="s">
        <v>6893</v>
      </c>
      <c r="G2068" s="3" t="s">
        <v>384</v>
      </c>
      <c r="H2068" s="2" t="str">
        <f>"2013"</f>
        <v>2013</v>
      </c>
      <c r="I2068" t="s">
        <v>14</v>
      </c>
      <c r="J2068" t="s">
        <v>15</v>
      </c>
    </row>
    <row r="2069" spans="1:10">
      <c r="A2069" s="2" t="str">
        <f>"2066"</f>
        <v>2066</v>
      </c>
      <c r="B2069" s="2" t="s">
        <v>9</v>
      </c>
      <c r="C2069" s="2" t="str">
        <f>"1 (1)"</f>
        <v>1 (1)</v>
      </c>
      <c r="D2069" s="2" t="s">
        <v>6894</v>
      </c>
      <c r="E2069" s="5" t="s">
        <v>6895</v>
      </c>
      <c r="F2069" s="3" t="s">
        <v>6896</v>
      </c>
      <c r="G2069" s="3" t="s">
        <v>6897</v>
      </c>
      <c r="H2069" s="2" t="str">
        <f>"2013"</f>
        <v>2013</v>
      </c>
      <c r="I2069" t="s">
        <v>14</v>
      </c>
      <c r="J2069" t="s">
        <v>15</v>
      </c>
    </row>
    <row r="2070" spans="1:10">
      <c r="A2070" s="2" t="str">
        <f>"2067"</f>
        <v>2067</v>
      </c>
      <c r="B2070" s="2" t="s">
        <v>9</v>
      </c>
      <c r="C2070" s="2" t="str">
        <f>"1 (1)"</f>
        <v>1 (1)</v>
      </c>
      <c r="D2070" s="2" t="s">
        <v>6898</v>
      </c>
      <c r="E2070" s="5" t="s">
        <v>6899</v>
      </c>
      <c r="F2070" s="3" t="s">
        <v>6900</v>
      </c>
      <c r="G2070" s="3" t="s">
        <v>6578</v>
      </c>
      <c r="H2070" s="2" t="str">
        <f>"2012"</f>
        <v>2012</v>
      </c>
      <c r="I2070" t="s">
        <v>14</v>
      </c>
      <c r="J2070" t="s">
        <v>15</v>
      </c>
    </row>
    <row r="2071" spans="1:10">
      <c r="A2071" s="2" t="str">
        <f>"2068"</f>
        <v>2068</v>
      </c>
      <c r="B2071" s="2" t="s">
        <v>9</v>
      </c>
      <c r="C2071" s="2" t="str">
        <f>"1 (1)"</f>
        <v>1 (1)</v>
      </c>
      <c r="D2071" s="2" t="s">
        <v>6901</v>
      </c>
      <c r="E2071" s="5" t="s">
        <v>6902</v>
      </c>
      <c r="F2071" s="3" t="s">
        <v>6903</v>
      </c>
      <c r="G2071" s="3" t="s">
        <v>6904</v>
      </c>
      <c r="H2071" s="2" t="str">
        <f>"2012"</f>
        <v>2012</v>
      </c>
      <c r="I2071" t="s">
        <v>14</v>
      </c>
      <c r="J2071" t="s">
        <v>15</v>
      </c>
    </row>
    <row r="2072" spans="1:10">
      <c r="A2072" s="2" t="str">
        <f>"2069"</f>
        <v>2069</v>
      </c>
      <c r="B2072" s="2" t="s">
        <v>9</v>
      </c>
      <c r="C2072" s="2" t="str">
        <f>"1 (1)"</f>
        <v>1 (1)</v>
      </c>
      <c r="D2072" s="2" t="s">
        <v>6905</v>
      </c>
      <c r="E2072" s="5" t="s">
        <v>6906</v>
      </c>
      <c r="F2072" s="3" t="s">
        <v>6907</v>
      </c>
      <c r="G2072" s="3" t="s">
        <v>6754</v>
      </c>
      <c r="H2072" s="2" t="str">
        <f>"2013"</f>
        <v>2013</v>
      </c>
      <c r="I2072" t="s">
        <v>14</v>
      </c>
      <c r="J2072" t="s">
        <v>15</v>
      </c>
    </row>
    <row r="2073" spans="1:10">
      <c r="A2073" s="2" t="str">
        <f>"2070"</f>
        <v>2070</v>
      </c>
      <c r="B2073" s="2" t="s">
        <v>9</v>
      </c>
      <c r="C2073" s="2" t="str">
        <f>"1 (1)"</f>
        <v>1 (1)</v>
      </c>
      <c r="D2073" s="2" t="s">
        <v>6908</v>
      </c>
      <c r="E2073" s="5" t="s">
        <v>6909</v>
      </c>
      <c r="F2073" s="3" t="s">
        <v>872</v>
      </c>
      <c r="G2073" s="3" t="s">
        <v>156</v>
      </c>
      <c r="H2073" s="2" t="str">
        <f>"2000"</f>
        <v>2000</v>
      </c>
      <c r="I2073" t="s">
        <v>14</v>
      </c>
      <c r="J2073" t="s">
        <v>15</v>
      </c>
    </row>
    <row r="2074" spans="1:10">
      <c r="A2074" s="2" t="str">
        <f>"2071"</f>
        <v>2071</v>
      </c>
      <c r="B2074" s="2" t="s">
        <v>9</v>
      </c>
      <c r="C2074" s="2" t="str">
        <f>"1 (1)"</f>
        <v>1 (1)</v>
      </c>
      <c r="D2074" s="2" t="s">
        <v>6910</v>
      </c>
      <c r="E2074" s="5" t="s">
        <v>6911</v>
      </c>
      <c r="F2074" s="3" t="s">
        <v>872</v>
      </c>
      <c r="G2074" s="3" t="s">
        <v>156</v>
      </c>
      <c r="H2074" s="2" t="str">
        <f>"2013"</f>
        <v>2013</v>
      </c>
      <c r="I2074" t="s">
        <v>14</v>
      </c>
      <c r="J2074" t="s">
        <v>15</v>
      </c>
    </row>
    <row r="2075" spans="1:10">
      <c r="A2075" s="2" t="str">
        <f>"2072"</f>
        <v>2072</v>
      </c>
      <c r="B2075" s="2" t="s">
        <v>9</v>
      </c>
      <c r="C2075" s="2" t="str">
        <f>"1 (1)"</f>
        <v>1 (1)</v>
      </c>
      <c r="D2075" s="2" t="s">
        <v>6912</v>
      </c>
      <c r="E2075" s="5" t="s">
        <v>6913</v>
      </c>
      <c r="F2075" s="3" t="s">
        <v>6914</v>
      </c>
      <c r="G2075" s="3" t="s">
        <v>5087</v>
      </c>
      <c r="H2075" s="2" t="str">
        <f>"2013"</f>
        <v>2013</v>
      </c>
      <c r="I2075" t="s">
        <v>14</v>
      </c>
      <c r="J2075" t="s">
        <v>15</v>
      </c>
    </row>
    <row r="2076" spans="1:10">
      <c r="A2076" s="2" t="str">
        <f>"2073"</f>
        <v>2073</v>
      </c>
      <c r="B2076" s="2" t="s">
        <v>9</v>
      </c>
      <c r="C2076" s="2" t="str">
        <f>"1 (1)"</f>
        <v>1 (1)</v>
      </c>
      <c r="D2076" s="2" t="s">
        <v>6915</v>
      </c>
      <c r="E2076" s="5" t="s">
        <v>6916</v>
      </c>
      <c r="F2076" s="3" t="s">
        <v>6917</v>
      </c>
      <c r="G2076" s="3" t="s">
        <v>94</v>
      </c>
      <c r="H2076" s="2" t="str">
        <f>"2013"</f>
        <v>2013</v>
      </c>
      <c r="I2076" t="s">
        <v>14</v>
      </c>
      <c r="J2076" t="s">
        <v>15</v>
      </c>
    </row>
    <row r="2077" spans="1:10">
      <c r="A2077" s="2" t="str">
        <f>"2074"</f>
        <v>2074</v>
      </c>
      <c r="B2077" s="2" t="s">
        <v>9</v>
      </c>
      <c r="C2077" s="2" t="str">
        <f>"1 (1)"</f>
        <v>1 (1)</v>
      </c>
      <c r="D2077" s="2" t="s">
        <v>6918</v>
      </c>
      <c r="E2077" s="5" t="s">
        <v>6916</v>
      </c>
      <c r="F2077" s="3" t="s">
        <v>6917</v>
      </c>
      <c r="G2077" s="3" t="s">
        <v>94</v>
      </c>
      <c r="H2077" s="2" t="str">
        <f>"2013"</f>
        <v>2013</v>
      </c>
      <c r="I2077" t="s">
        <v>14</v>
      </c>
      <c r="J2077" t="s">
        <v>15</v>
      </c>
    </row>
    <row r="2078" spans="1:10">
      <c r="A2078" s="2" t="str">
        <f>"2075"</f>
        <v>2075</v>
      </c>
      <c r="B2078" s="2" t="s">
        <v>9</v>
      </c>
      <c r="C2078" s="2" t="str">
        <f>"1 (1)"</f>
        <v>1 (1)</v>
      </c>
      <c r="D2078" s="2" t="s">
        <v>6919</v>
      </c>
      <c r="E2078" s="5" t="s">
        <v>6920</v>
      </c>
      <c r="F2078" s="3" t="s">
        <v>6807</v>
      </c>
      <c r="G2078" s="3" t="s">
        <v>4658</v>
      </c>
      <c r="H2078" s="2" t="str">
        <f>"2013"</f>
        <v>2013</v>
      </c>
      <c r="I2078" t="s">
        <v>14</v>
      </c>
      <c r="J2078" t="s">
        <v>15</v>
      </c>
    </row>
    <row r="2079" spans="1:10">
      <c r="A2079" s="2" t="str">
        <f>"2076"</f>
        <v>2076</v>
      </c>
      <c r="B2079" s="2" t="s">
        <v>9</v>
      </c>
      <c r="C2079" s="2" t="str">
        <f>"1 (1)"</f>
        <v>1 (1)</v>
      </c>
      <c r="D2079" s="2" t="s">
        <v>6921</v>
      </c>
      <c r="E2079" s="5" t="s">
        <v>6922</v>
      </c>
      <c r="F2079" s="3" t="s">
        <v>6923</v>
      </c>
      <c r="G2079" s="3" t="s">
        <v>1024</v>
      </c>
      <c r="H2079" s="2" t="str">
        <f>"2011"</f>
        <v>2011</v>
      </c>
      <c r="I2079" t="s">
        <v>14</v>
      </c>
      <c r="J2079" t="s">
        <v>15</v>
      </c>
    </row>
    <row r="2080" spans="1:10">
      <c r="A2080" s="2" t="str">
        <f>"2077"</f>
        <v>2077</v>
      </c>
      <c r="B2080" s="2" t="s">
        <v>9</v>
      </c>
      <c r="C2080" s="2" t="str">
        <f>"1 (1)"</f>
        <v>1 (1)</v>
      </c>
      <c r="D2080" s="2" t="s">
        <v>6924</v>
      </c>
      <c r="E2080" s="5" t="s">
        <v>6925</v>
      </c>
      <c r="F2080" s="3" t="s">
        <v>6903</v>
      </c>
      <c r="G2080" s="3" t="s">
        <v>6904</v>
      </c>
      <c r="H2080" s="2" t="str">
        <f>"2012"</f>
        <v>2012</v>
      </c>
      <c r="I2080" t="s">
        <v>14</v>
      </c>
      <c r="J2080" t="s">
        <v>15</v>
      </c>
    </row>
    <row r="2081" spans="1:10">
      <c r="A2081" s="2" t="str">
        <f>"2078"</f>
        <v>2078</v>
      </c>
      <c r="B2081" s="2" t="s">
        <v>9</v>
      </c>
      <c r="C2081" s="2" t="str">
        <f>"1 (1)"</f>
        <v>1 (1)</v>
      </c>
      <c r="D2081" s="2" t="s">
        <v>6926</v>
      </c>
      <c r="E2081" s="5" t="s">
        <v>6927</v>
      </c>
      <c r="F2081" s="3" t="s">
        <v>6928</v>
      </c>
      <c r="G2081" s="3" t="s">
        <v>6502</v>
      </c>
      <c r="H2081" s="2" t="str">
        <f>"2013"</f>
        <v>2013</v>
      </c>
      <c r="I2081" t="s">
        <v>14</v>
      </c>
      <c r="J2081" t="s">
        <v>15</v>
      </c>
    </row>
    <row r="2082" spans="1:10">
      <c r="A2082" s="2" t="str">
        <f>"2079"</f>
        <v>2079</v>
      </c>
      <c r="B2082" s="2" t="s">
        <v>9</v>
      </c>
      <c r="C2082" s="2" t="str">
        <f>"1 (1)"</f>
        <v>1 (1)</v>
      </c>
      <c r="D2082" s="2" t="s">
        <v>6929</v>
      </c>
      <c r="E2082" s="5" t="s">
        <v>6930</v>
      </c>
      <c r="F2082" s="3" t="s">
        <v>155</v>
      </c>
      <c r="G2082" s="3" t="s">
        <v>156</v>
      </c>
      <c r="H2082" s="2" t="str">
        <f>"2012"</f>
        <v>2012</v>
      </c>
      <c r="I2082" t="s">
        <v>14</v>
      </c>
      <c r="J2082" t="s">
        <v>15</v>
      </c>
    </row>
    <row r="2083" spans="1:10">
      <c r="A2083" s="2" t="str">
        <f>"2080"</f>
        <v>2080</v>
      </c>
      <c r="B2083" s="2" t="s">
        <v>9</v>
      </c>
      <c r="C2083" s="2" t="str">
        <f>"1 (1)"</f>
        <v>1 (1)</v>
      </c>
      <c r="D2083" s="2" t="s">
        <v>6931</v>
      </c>
      <c r="E2083" s="5" t="str">
        <f>"1 대 100 : 초등학생 100명이 묻고 최고의 전문가가 답하다"</f>
        <v>1 대 100 : 초등학생 100명이 묻고 최고의 전문가가 답하다</v>
      </c>
      <c r="F2083" s="3" t="s">
        <v>6932</v>
      </c>
      <c r="G2083" s="3" t="s">
        <v>443</v>
      </c>
      <c r="H2083" s="2" t="str">
        <f>"2012"</f>
        <v>2012</v>
      </c>
      <c r="I2083" t="s">
        <v>14</v>
      </c>
      <c r="J2083" t="s">
        <v>15</v>
      </c>
    </row>
    <row r="2084" spans="1:10">
      <c r="A2084" s="2" t="str">
        <f>"2081"</f>
        <v>2081</v>
      </c>
      <c r="B2084" s="2" t="s">
        <v>9</v>
      </c>
      <c r="C2084" s="2" t="str">
        <f>"1 (1)"</f>
        <v>1 (1)</v>
      </c>
      <c r="D2084" s="2" t="s">
        <v>6933</v>
      </c>
      <c r="E2084" s="5" t="s">
        <v>6934</v>
      </c>
      <c r="F2084" s="3" t="s">
        <v>6935</v>
      </c>
      <c r="G2084" s="3" t="s">
        <v>6936</v>
      </c>
      <c r="H2084" s="2" t="str">
        <f>"2011"</f>
        <v>2011</v>
      </c>
      <c r="I2084" t="s">
        <v>14</v>
      </c>
      <c r="J2084" t="s">
        <v>15</v>
      </c>
    </row>
    <row r="2085" spans="1:10">
      <c r="A2085" s="2" t="str">
        <f>"2082"</f>
        <v>2082</v>
      </c>
      <c r="B2085" s="2" t="s">
        <v>9</v>
      </c>
      <c r="C2085" s="2" t="str">
        <f>"1 (1)"</f>
        <v>1 (1)</v>
      </c>
      <c r="D2085" s="2" t="s">
        <v>6937</v>
      </c>
      <c r="E2085" s="5" t="s">
        <v>6938</v>
      </c>
      <c r="F2085" s="3" t="s">
        <v>6939</v>
      </c>
      <c r="G2085" s="3" t="s">
        <v>980</v>
      </c>
      <c r="H2085" s="2" t="str">
        <f>"2013"</f>
        <v>2013</v>
      </c>
      <c r="I2085" t="s">
        <v>14</v>
      </c>
      <c r="J2085" t="s">
        <v>15</v>
      </c>
    </row>
    <row r="2086" spans="1:10">
      <c r="A2086" s="2" t="str">
        <f>"2083"</f>
        <v>2083</v>
      </c>
      <c r="B2086" s="2" t="s">
        <v>9</v>
      </c>
      <c r="C2086" s="2" t="str">
        <f>"1 (1)"</f>
        <v>1 (1)</v>
      </c>
      <c r="D2086" s="2" t="s">
        <v>6940</v>
      </c>
      <c r="E2086" s="5" t="s">
        <v>6941</v>
      </c>
      <c r="F2086" s="3" t="s">
        <v>6942</v>
      </c>
      <c r="G2086" s="3" t="s">
        <v>4781</v>
      </c>
      <c r="H2086" s="2" t="str">
        <f>"2011"</f>
        <v>2011</v>
      </c>
      <c r="I2086" t="s">
        <v>14</v>
      </c>
      <c r="J2086" t="s">
        <v>15</v>
      </c>
    </row>
    <row r="2087" spans="1:10">
      <c r="A2087" s="2" t="str">
        <f>"2084"</f>
        <v>2084</v>
      </c>
      <c r="B2087" s="2" t="s">
        <v>9</v>
      </c>
      <c r="C2087" s="2" t="str">
        <f>"1 (1)"</f>
        <v>1 (1)</v>
      </c>
      <c r="D2087" s="2" t="s">
        <v>6943</v>
      </c>
      <c r="E2087" s="5" t="s">
        <v>6944</v>
      </c>
      <c r="F2087" s="3" t="s">
        <v>6945</v>
      </c>
      <c r="G2087" s="3" t="s">
        <v>4781</v>
      </c>
      <c r="H2087" s="2" t="str">
        <f>"2011"</f>
        <v>2011</v>
      </c>
      <c r="I2087" t="s">
        <v>14</v>
      </c>
      <c r="J2087" t="s">
        <v>15</v>
      </c>
    </row>
    <row r="2088" spans="1:10">
      <c r="A2088" s="2" t="str">
        <f>"2085"</f>
        <v>2085</v>
      </c>
      <c r="B2088" s="2" t="s">
        <v>9</v>
      </c>
      <c r="C2088" s="2" t="str">
        <f>"1 (1)"</f>
        <v>1 (1)</v>
      </c>
      <c r="D2088" s="2" t="s">
        <v>6946</v>
      </c>
      <c r="E2088" s="5" t="s">
        <v>6947</v>
      </c>
      <c r="F2088" s="3" t="s">
        <v>6948</v>
      </c>
      <c r="G2088" s="3" t="s">
        <v>426</v>
      </c>
      <c r="H2088" s="2" t="str">
        <f>"2011"</f>
        <v>2011</v>
      </c>
      <c r="I2088" t="s">
        <v>14</v>
      </c>
      <c r="J2088" t="s">
        <v>15</v>
      </c>
    </row>
    <row r="2089" spans="1:10">
      <c r="A2089" s="2" t="str">
        <f>"2086"</f>
        <v>2086</v>
      </c>
      <c r="B2089" s="2" t="s">
        <v>9</v>
      </c>
      <c r="C2089" s="2" t="str">
        <f>"1 (1)"</f>
        <v>1 (1)</v>
      </c>
      <c r="D2089" s="2" t="s">
        <v>6949</v>
      </c>
      <c r="E2089" s="5" t="s">
        <v>6950</v>
      </c>
      <c r="F2089" s="3" t="s">
        <v>6951</v>
      </c>
      <c r="G2089" s="3" t="s">
        <v>1024</v>
      </c>
      <c r="H2089" s="2" t="str">
        <f>"2012"</f>
        <v>2012</v>
      </c>
      <c r="I2089" t="s">
        <v>14</v>
      </c>
      <c r="J2089" t="s">
        <v>15</v>
      </c>
    </row>
    <row r="2090" spans="1:10">
      <c r="A2090" s="2" t="str">
        <f>"2087"</f>
        <v>2087</v>
      </c>
      <c r="B2090" s="2" t="s">
        <v>9</v>
      </c>
      <c r="C2090" s="2" t="str">
        <f>"1 (1)"</f>
        <v>1 (1)</v>
      </c>
      <c r="D2090" s="2" t="s">
        <v>6952</v>
      </c>
      <c r="E2090" s="5" t="s">
        <v>6953</v>
      </c>
      <c r="F2090" s="3" t="s">
        <v>6954</v>
      </c>
      <c r="G2090" s="3" t="s">
        <v>156</v>
      </c>
      <c r="H2090" s="2" t="str">
        <f>"2013"</f>
        <v>2013</v>
      </c>
      <c r="I2090" t="s">
        <v>14</v>
      </c>
      <c r="J2090" t="s">
        <v>15</v>
      </c>
    </row>
    <row r="2091" spans="1:10">
      <c r="A2091" s="2" t="str">
        <f>"2088"</f>
        <v>2088</v>
      </c>
      <c r="B2091" s="2" t="s">
        <v>9</v>
      </c>
      <c r="C2091" s="2" t="str">
        <f>"1 (1)"</f>
        <v>1 (1)</v>
      </c>
      <c r="D2091" s="2" t="s">
        <v>6955</v>
      </c>
      <c r="E2091" s="5" t="s">
        <v>6956</v>
      </c>
      <c r="F2091" s="3" t="s">
        <v>6957</v>
      </c>
      <c r="G2091" s="3" t="s">
        <v>669</v>
      </c>
      <c r="H2091" s="2" t="str">
        <f>"2013"</f>
        <v>2013</v>
      </c>
      <c r="I2091" t="s">
        <v>14</v>
      </c>
      <c r="J2091" t="s">
        <v>15</v>
      </c>
    </row>
    <row r="2092" spans="1:10">
      <c r="A2092" s="2" t="str">
        <f>"2089"</f>
        <v>2089</v>
      </c>
      <c r="B2092" s="2" t="s">
        <v>9</v>
      </c>
      <c r="C2092" s="2" t="str">
        <f>"1 (1)"</f>
        <v>1 (1)</v>
      </c>
      <c r="D2092" s="2" t="s">
        <v>6958</v>
      </c>
      <c r="E2092" s="5" t="s">
        <v>6959</v>
      </c>
      <c r="F2092" s="3" t="s">
        <v>6960</v>
      </c>
      <c r="G2092" s="3" t="s">
        <v>1143</v>
      </c>
      <c r="H2092" s="2" t="str">
        <f>"2012"</f>
        <v>2012</v>
      </c>
      <c r="I2092" t="s">
        <v>14</v>
      </c>
      <c r="J2092" t="s">
        <v>15</v>
      </c>
    </row>
    <row r="2093" spans="1:10">
      <c r="A2093" s="2" t="str">
        <f>"2090"</f>
        <v>2090</v>
      </c>
      <c r="B2093" s="2" t="s">
        <v>9</v>
      </c>
      <c r="C2093" s="2" t="str">
        <f>"1 (1)"</f>
        <v>1 (1)</v>
      </c>
      <c r="D2093" s="2" t="s">
        <v>6961</v>
      </c>
      <c r="E2093" s="5" t="s">
        <v>6962</v>
      </c>
      <c r="F2093" s="3" t="s">
        <v>6963</v>
      </c>
      <c r="G2093" s="3" t="s">
        <v>6964</v>
      </c>
      <c r="H2093" s="2" t="str">
        <f>"2013"</f>
        <v>2013</v>
      </c>
      <c r="I2093" t="s">
        <v>14</v>
      </c>
      <c r="J2093" t="s">
        <v>15</v>
      </c>
    </row>
    <row r="2094" spans="1:10">
      <c r="A2094" s="2" t="str">
        <f>"2091"</f>
        <v>2091</v>
      </c>
      <c r="B2094" s="2" t="s">
        <v>9</v>
      </c>
      <c r="C2094" s="2" t="str">
        <f>"1 (1)"</f>
        <v>1 (1)</v>
      </c>
      <c r="D2094" s="2" t="s">
        <v>6965</v>
      </c>
      <c r="E2094" s="5" t="s">
        <v>6966</v>
      </c>
      <c r="F2094" s="3" t="s">
        <v>6967</v>
      </c>
      <c r="G2094" s="3" t="s">
        <v>54</v>
      </c>
      <c r="H2094" s="2" t="str">
        <f>"2012"</f>
        <v>2012</v>
      </c>
      <c r="I2094" t="s">
        <v>14</v>
      </c>
      <c r="J2094" t="s">
        <v>15</v>
      </c>
    </row>
    <row r="2095" spans="1:10">
      <c r="A2095" s="2" t="str">
        <f>"2092"</f>
        <v>2092</v>
      </c>
      <c r="B2095" s="2" t="s">
        <v>9</v>
      </c>
      <c r="C2095" s="2" t="str">
        <f>"1 (1)"</f>
        <v>1 (1)</v>
      </c>
      <c r="D2095" s="2" t="s">
        <v>6968</v>
      </c>
      <c r="E2095" s="5" t="s">
        <v>6969</v>
      </c>
      <c r="F2095" s="3" t="s">
        <v>6970</v>
      </c>
      <c r="G2095" s="3" t="s">
        <v>1061</v>
      </c>
      <c r="H2095" s="2" t="str">
        <f>"2012"</f>
        <v>2012</v>
      </c>
      <c r="I2095" t="s">
        <v>14</v>
      </c>
      <c r="J2095" t="s">
        <v>15</v>
      </c>
    </row>
    <row r="2096" spans="1:10">
      <c r="A2096" s="2" t="str">
        <f>"2093"</f>
        <v>2093</v>
      </c>
      <c r="B2096" s="2" t="s">
        <v>9</v>
      </c>
      <c r="C2096" s="2" t="str">
        <f>"1 (1)"</f>
        <v>1 (1)</v>
      </c>
      <c r="D2096" s="2" t="s">
        <v>6971</v>
      </c>
      <c r="E2096" s="5" t="s">
        <v>6972</v>
      </c>
      <c r="F2096" s="3" t="s">
        <v>6954</v>
      </c>
      <c r="G2096" s="3" t="s">
        <v>156</v>
      </c>
      <c r="H2096" s="2" t="str">
        <f>"2013"</f>
        <v>2013</v>
      </c>
      <c r="I2096" t="s">
        <v>14</v>
      </c>
      <c r="J2096" t="s">
        <v>15</v>
      </c>
    </row>
    <row r="2097" spans="1:10">
      <c r="A2097" s="2" t="str">
        <f>"2094"</f>
        <v>2094</v>
      </c>
      <c r="B2097" s="2" t="s">
        <v>9</v>
      </c>
      <c r="C2097" s="2" t="str">
        <f>"1 (1)"</f>
        <v>1 (1)</v>
      </c>
      <c r="D2097" s="2" t="s">
        <v>6973</v>
      </c>
      <c r="E2097" s="5" t="s">
        <v>6974</v>
      </c>
      <c r="F2097" s="3" t="s">
        <v>6975</v>
      </c>
      <c r="G2097" s="3" t="s">
        <v>380</v>
      </c>
      <c r="H2097" s="2" t="str">
        <f>"2013"</f>
        <v>2013</v>
      </c>
      <c r="I2097" t="s">
        <v>14</v>
      </c>
      <c r="J2097" t="s">
        <v>15</v>
      </c>
    </row>
    <row r="2098" spans="1:10">
      <c r="A2098" s="2" t="str">
        <f>"2095"</f>
        <v>2095</v>
      </c>
      <c r="B2098" s="2" t="s">
        <v>9</v>
      </c>
      <c r="C2098" s="2" t="str">
        <f>"1 (1)"</f>
        <v>1 (1)</v>
      </c>
      <c r="D2098" s="2" t="s">
        <v>6976</v>
      </c>
      <c r="E2098" s="5" t="s">
        <v>6977</v>
      </c>
      <c r="F2098" s="3" t="s">
        <v>6978</v>
      </c>
      <c r="G2098" s="3" t="s">
        <v>156</v>
      </c>
      <c r="H2098" s="2" t="str">
        <f>"2013"</f>
        <v>2013</v>
      </c>
      <c r="I2098" t="s">
        <v>14</v>
      </c>
      <c r="J2098" t="s">
        <v>15</v>
      </c>
    </row>
    <row r="2099" spans="1:10">
      <c r="A2099" s="2" t="str">
        <f>"2096"</f>
        <v>2096</v>
      </c>
      <c r="B2099" s="2" t="s">
        <v>9</v>
      </c>
      <c r="C2099" s="2" t="str">
        <f>"1 (1)"</f>
        <v>1 (1)</v>
      </c>
      <c r="D2099" s="2" t="s">
        <v>6979</v>
      </c>
      <c r="E2099" s="5" t="s">
        <v>6980</v>
      </c>
      <c r="F2099" s="3" t="s">
        <v>6981</v>
      </c>
      <c r="G2099" s="3" t="s">
        <v>1053</v>
      </c>
      <c r="H2099" s="2" t="str">
        <f>"2012"</f>
        <v>2012</v>
      </c>
      <c r="I2099" t="s">
        <v>14</v>
      </c>
      <c r="J2099" t="s">
        <v>15</v>
      </c>
    </row>
    <row r="2100" spans="1:10">
      <c r="A2100" s="2" t="str">
        <f>"2097"</f>
        <v>2097</v>
      </c>
      <c r="B2100" s="2" t="s">
        <v>9</v>
      </c>
      <c r="C2100" s="2" t="str">
        <f>"1 (1)"</f>
        <v>1 (1)</v>
      </c>
      <c r="D2100" s="2" t="s">
        <v>6982</v>
      </c>
      <c r="E2100" s="5" t="s">
        <v>6983</v>
      </c>
      <c r="F2100" s="3" t="s">
        <v>6984</v>
      </c>
      <c r="G2100" s="3" t="s">
        <v>54</v>
      </c>
      <c r="H2100" s="2" t="str">
        <f>"2012"</f>
        <v>2012</v>
      </c>
      <c r="I2100" t="s">
        <v>14</v>
      </c>
      <c r="J2100" t="s">
        <v>15</v>
      </c>
    </row>
    <row r="2101" spans="1:10">
      <c r="A2101" s="2" t="str">
        <f>"2098"</f>
        <v>2098</v>
      </c>
      <c r="B2101" s="2" t="s">
        <v>9</v>
      </c>
      <c r="C2101" s="2" t="str">
        <f>"1 (1)"</f>
        <v>1 (1)</v>
      </c>
      <c r="D2101" s="2" t="s">
        <v>6985</v>
      </c>
      <c r="E2101" s="5" t="s">
        <v>6986</v>
      </c>
      <c r="F2101" s="3" t="s">
        <v>6987</v>
      </c>
      <c r="G2101" s="3" t="s">
        <v>6988</v>
      </c>
      <c r="H2101" s="2" t="str">
        <f>"2012"</f>
        <v>2012</v>
      </c>
      <c r="I2101" t="s">
        <v>14</v>
      </c>
      <c r="J2101" t="s">
        <v>15</v>
      </c>
    </row>
    <row r="2102" spans="1:10">
      <c r="A2102" s="2" t="str">
        <f>"2099"</f>
        <v>2099</v>
      </c>
      <c r="B2102" s="2" t="s">
        <v>9</v>
      </c>
      <c r="C2102" s="2" t="str">
        <f>"1 (1)"</f>
        <v>1 (1)</v>
      </c>
      <c r="D2102" s="2" t="s">
        <v>6989</v>
      </c>
      <c r="E2102" s="5" t="s">
        <v>6990</v>
      </c>
      <c r="F2102" s="3" t="s">
        <v>6991</v>
      </c>
      <c r="G2102" s="3" t="s">
        <v>6758</v>
      </c>
      <c r="H2102" s="2" t="str">
        <f>"2013"</f>
        <v>2013</v>
      </c>
      <c r="I2102" t="s">
        <v>14</v>
      </c>
      <c r="J2102" t="s">
        <v>15</v>
      </c>
    </row>
    <row r="2103" spans="1:10">
      <c r="A2103" s="2" t="str">
        <f>"2100"</f>
        <v>2100</v>
      </c>
      <c r="B2103" s="2" t="s">
        <v>9</v>
      </c>
      <c r="C2103" s="2" t="str">
        <f>"1 (1)"</f>
        <v>1 (1)</v>
      </c>
      <c r="D2103" s="2" t="s">
        <v>6992</v>
      </c>
      <c r="E2103" s="5" t="s">
        <v>6993</v>
      </c>
      <c r="F2103" s="3" t="s">
        <v>6994</v>
      </c>
      <c r="G2103" s="3" t="s">
        <v>156</v>
      </c>
      <c r="H2103" s="2" t="str">
        <f>"2013"</f>
        <v>2013</v>
      </c>
      <c r="I2103" t="s">
        <v>14</v>
      </c>
      <c r="J2103" t="s">
        <v>15</v>
      </c>
    </row>
    <row r="2104" spans="1:10">
      <c r="A2104" s="2" t="str">
        <f>"2101"</f>
        <v>2101</v>
      </c>
      <c r="B2104" s="2" t="s">
        <v>9</v>
      </c>
      <c r="C2104" s="2" t="str">
        <f>"1 (1)"</f>
        <v>1 (1)</v>
      </c>
      <c r="D2104" s="2" t="s">
        <v>6995</v>
      </c>
      <c r="E2104" s="5" t="s">
        <v>6996</v>
      </c>
      <c r="F2104" s="3" t="s">
        <v>6997</v>
      </c>
      <c r="G2104" s="3" t="s">
        <v>156</v>
      </c>
      <c r="H2104" s="2" t="str">
        <f>"2013"</f>
        <v>2013</v>
      </c>
      <c r="I2104" t="s">
        <v>14</v>
      </c>
      <c r="J2104" t="s">
        <v>15</v>
      </c>
    </row>
    <row r="2105" spans="1:10">
      <c r="A2105" s="2" t="str">
        <f>"2102"</f>
        <v>2102</v>
      </c>
      <c r="B2105" s="2" t="s">
        <v>9</v>
      </c>
      <c r="C2105" s="2" t="str">
        <f>"1 (1)"</f>
        <v>1 (1)</v>
      </c>
      <c r="D2105" s="2" t="s">
        <v>6998</v>
      </c>
      <c r="E2105" s="5" t="s">
        <v>6999</v>
      </c>
      <c r="F2105" s="3" t="s">
        <v>7000</v>
      </c>
      <c r="G2105" s="3" t="s">
        <v>156</v>
      </c>
      <c r="H2105" s="2" t="str">
        <f>"2013"</f>
        <v>2013</v>
      </c>
      <c r="I2105" t="s">
        <v>14</v>
      </c>
      <c r="J2105" t="s">
        <v>15</v>
      </c>
    </row>
    <row r="2106" spans="1:10">
      <c r="A2106" s="2" t="str">
        <f>"2103"</f>
        <v>2103</v>
      </c>
      <c r="B2106" s="2" t="s">
        <v>9</v>
      </c>
      <c r="C2106" s="2" t="str">
        <f>"1 (1)"</f>
        <v>1 (1)</v>
      </c>
      <c r="D2106" s="2" t="s">
        <v>7001</v>
      </c>
      <c r="E2106" s="5" t="s">
        <v>7002</v>
      </c>
      <c r="F2106" s="3" t="s">
        <v>7003</v>
      </c>
      <c r="G2106" s="3" t="s">
        <v>7004</v>
      </c>
      <c r="H2106" s="2" t="str">
        <f>"2011"</f>
        <v>2011</v>
      </c>
      <c r="I2106" t="s">
        <v>14</v>
      </c>
      <c r="J2106" t="s">
        <v>15</v>
      </c>
    </row>
    <row r="2107" spans="1:10">
      <c r="A2107" s="2" t="str">
        <f>"2104"</f>
        <v>2104</v>
      </c>
      <c r="B2107" s="2" t="s">
        <v>9</v>
      </c>
      <c r="C2107" s="2" t="str">
        <f>"1 (1)"</f>
        <v>1 (1)</v>
      </c>
      <c r="D2107" s="2" t="s">
        <v>7005</v>
      </c>
      <c r="E2107" s="5" t="s">
        <v>7006</v>
      </c>
      <c r="F2107" s="3" t="s">
        <v>7007</v>
      </c>
      <c r="G2107" s="3" t="s">
        <v>7008</v>
      </c>
      <c r="H2107" s="2" t="str">
        <f>"2013"</f>
        <v>2013</v>
      </c>
      <c r="I2107" t="s">
        <v>14</v>
      </c>
      <c r="J2107" t="s">
        <v>15</v>
      </c>
    </row>
    <row r="2108" spans="1:10">
      <c r="A2108" s="2" t="str">
        <f>"2105"</f>
        <v>2105</v>
      </c>
      <c r="B2108" s="2" t="s">
        <v>9</v>
      </c>
      <c r="C2108" s="2" t="str">
        <f>"1 (1)"</f>
        <v>1 (1)</v>
      </c>
      <c r="D2108" s="2" t="s">
        <v>7009</v>
      </c>
      <c r="E2108" s="5" t="s">
        <v>7010</v>
      </c>
      <c r="F2108" s="3" t="s">
        <v>7011</v>
      </c>
      <c r="G2108" s="3" t="s">
        <v>6578</v>
      </c>
      <c r="H2108" s="2" t="str">
        <f>"2013"</f>
        <v>2013</v>
      </c>
      <c r="I2108" t="s">
        <v>14</v>
      </c>
      <c r="J2108" t="s">
        <v>15</v>
      </c>
    </row>
    <row r="2109" spans="1:10">
      <c r="A2109" s="2" t="str">
        <f>"2106"</f>
        <v>2106</v>
      </c>
      <c r="B2109" s="2" t="s">
        <v>9</v>
      </c>
      <c r="C2109" s="2" t="str">
        <f>"1 (1)"</f>
        <v>1 (1)</v>
      </c>
      <c r="D2109" s="2" t="s">
        <v>7012</v>
      </c>
      <c r="E2109" s="5" t="s">
        <v>7013</v>
      </c>
      <c r="F2109" s="3" t="s">
        <v>7014</v>
      </c>
      <c r="G2109" s="3" t="s">
        <v>114</v>
      </c>
      <c r="H2109" s="2" t="str">
        <f>"2013"</f>
        <v>2013</v>
      </c>
      <c r="I2109" t="s">
        <v>14</v>
      </c>
      <c r="J2109" t="s">
        <v>15</v>
      </c>
    </row>
    <row r="2110" spans="1:10">
      <c r="A2110" s="2" t="str">
        <f>"2107"</f>
        <v>2107</v>
      </c>
      <c r="B2110" s="2" t="s">
        <v>9</v>
      </c>
      <c r="C2110" s="2" t="str">
        <f>"1 (1)"</f>
        <v>1 (1)</v>
      </c>
      <c r="D2110" s="2" t="s">
        <v>7015</v>
      </c>
      <c r="E2110" s="5" t="s">
        <v>7016</v>
      </c>
      <c r="F2110" s="3" t="s">
        <v>7017</v>
      </c>
      <c r="G2110" s="3" t="s">
        <v>7018</v>
      </c>
      <c r="H2110" s="2" t="str">
        <f>"2011"</f>
        <v>2011</v>
      </c>
      <c r="I2110" t="s">
        <v>14</v>
      </c>
      <c r="J2110" t="s">
        <v>15</v>
      </c>
    </row>
    <row r="2111" spans="1:10">
      <c r="A2111" s="2" t="str">
        <f>"2108"</f>
        <v>2108</v>
      </c>
      <c r="B2111" s="2" t="s">
        <v>9</v>
      </c>
      <c r="C2111" s="2" t="str">
        <f>"1 (1)"</f>
        <v>1 (1)</v>
      </c>
      <c r="D2111" s="2" t="s">
        <v>7019</v>
      </c>
      <c r="E2111" s="5" t="s">
        <v>7020</v>
      </c>
      <c r="F2111" s="3" t="s">
        <v>7021</v>
      </c>
      <c r="G2111" s="3" t="s">
        <v>7022</v>
      </c>
      <c r="H2111" s="2" t="str">
        <f>"2012"</f>
        <v>2012</v>
      </c>
      <c r="I2111" t="s">
        <v>14</v>
      </c>
      <c r="J2111" t="s">
        <v>15</v>
      </c>
    </row>
    <row r="2112" spans="1:10">
      <c r="A2112" s="2" t="str">
        <f>"2109"</f>
        <v>2109</v>
      </c>
      <c r="B2112" s="2" t="s">
        <v>9</v>
      </c>
      <c r="C2112" s="2" t="str">
        <f>"1 (1)"</f>
        <v>1 (1)</v>
      </c>
      <c r="D2112" s="2" t="s">
        <v>7023</v>
      </c>
      <c r="E2112" s="5" t="s">
        <v>7024</v>
      </c>
      <c r="F2112" s="3" t="s">
        <v>7025</v>
      </c>
      <c r="G2112" s="3" t="s">
        <v>757</v>
      </c>
      <c r="H2112" s="2" t="str">
        <f>"2011"</f>
        <v>2011</v>
      </c>
      <c r="I2112" t="s">
        <v>14</v>
      </c>
      <c r="J2112" t="s">
        <v>15</v>
      </c>
    </row>
    <row r="2113" spans="1:10">
      <c r="A2113" s="2" t="str">
        <f>"2110"</f>
        <v>2110</v>
      </c>
      <c r="B2113" s="2" t="s">
        <v>9</v>
      </c>
      <c r="C2113" s="2" t="str">
        <f>"1 (1)"</f>
        <v>1 (1)</v>
      </c>
      <c r="D2113" s="2" t="s">
        <v>7026</v>
      </c>
      <c r="E2113" s="5" t="s">
        <v>7027</v>
      </c>
      <c r="F2113" s="3" t="s">
        <v>7028</v>
      </c>
      <c r="G2113" s="3" t="s">
        <v>7018</v>
      </c>
      <c r="H2113" s="2" t="str">
        <f>"2013"</f>
        <v>2013</v>
      </c>
      <c r="I2113" t="s">
        <v>14</v>
      </c>
      <c r="J2113" t="s">
        <v>15</v>
      </c>
    </row>
    <row r="2114" spans="1:10">
      <c r="A2114" s="2" t="str">
        <f>"2111"</f>
        <v>2111</v>
      </c>
      <c r="B2114" s="2" t="s">
        <v>9</v>
      </c>
      <c r="C2114" s="2" t="str">
        <f>"1 (1)"</f>
        <v>1 (1)</v>
      </c>
      <c r="D2114" s="2" t="s">
        <v>7029</v>
      </c>
      <c r="E2114" s="5" t="s">
        <v>7030</v>
      </c>
      <c r="F2114" s="3" t="s">
        <v>7028</v>
      </c>
      <c r="G2114" s="3" t="s">
        <v>7018</v>
      </c>
      <c r="H2114" s="2" t="str">
        <f>"2013"</f>
        <v>2013</v>
      </c>
      <c r="I2114" t="s">
        <v>14</v>
      </c>
      <c r="J2114" t="s">
        <v>15</v>
      </c>
    </row>
    <row r="2115" spans="1:10">
      <c r="A2115" s="2" t="str">
        <f>"2112"</f>
        <v>2112</v>
      </c>
      <c r="B2115" s="2" t="s">
        <v>9</v>
      </c>
      <c r="C2115" s="2" t="str">
        <f>"1 (1)"</f>
        <v>1 (1)</v>
      </c>
      <c r="D2115" s="2" t="s">
        <v>7031</v>
      </c>
      <c r="E2115" s="5" t="s">
        <v>7032</v>
      </c>
      <c r="F2115" s="3" t="s">
        <v>7033</v>
      </c>
      <c r="G2115" s="3" t="s">
        <v>669</v>
      </c>
      <c r="H2115" s="2" t="str">
        <f>"2012"</f>
        <v>2012</v>
      </c>
      <c r="I2115" t="s">
        <v>14</v>
      </c>
      <c r="J2115" t="s">
        <v>15</v>
      </c>
    </row>
    <row r="2116" spans="1:10">
      <c r="A2116" s="2" t="str">
        <f>"2113"</f>
        <v>2113</v>
      </c>
      <c r="B2116" s="2" t="s">
        <v>9</v>
      </c>
      <c r="C2116" s="2" t="str">
        <f>"1 (1)"</f>
        <v>1 (1)</v>
      </c>
      <c r="D2116" s="2" t="s">
        <v>7034</v>
      </c>
      <c r="E2116" s="5" t="s">
        <v>7035</v>
      </c>
      <c r="F2116" s="3" t="s">
        <v>7036</v>
      </c>
      <c r="G2116" s="3" t="s">
        <v>4825</v>
      </c>
      <c r="H2116" s="2" t="str">
        <f>"2012"</f>
        <v>2012</v>
      </c>
      <c r="I2116" t="s">
        <v>14</v>
      </c>
      <c r="J2116" t="s">
        <v>15</v>
      </c>
    </row>
    <row r="2117" spans="1:10">
      <c r="A2117" s="2" t="str">
        <f>"2114"</f>
        <v>2114</v>
      </c>
      <c r="B2117" s="2" t="s">
        <v>9</v>
      </c>
      <c r="C2117" s="2" t="str">
        <f>"1 (1)"</f>
        <v>1 (1)</v>
      </c>
      <c r="D2117" s="2" t="s">
        <v>7037</v>
      </c>
      <c r="E2117" s="5" t="s">
        <v>7038</v>
      </c>
      <c r="F2117" s="3" t="s">
        <v>7039</v>
      </c>
      <c r="G2117" s="3" t="s">
        <v>1624</v>
      </c>
      <c r="H2117" s="2" t="str">
        <f>"2012"</f>
        <v>2012</v>
      </c>
      <c r="I2117" t="s">
        <v>14</v>
      </c>
      <c r="J2117" t="s">
        <v>15</v>
      </c>
    </row>
    <row r="2118" spans="1:10">
      <c r="A2118" s="2" t="str">
        <f>"2115"</f>
        <v>2115</v>
      </c>
      <c r="B2118" s="2" t="s">
        <v>9</v>
      </c>
      <c r="C2118" s="2" t="str">
        <f>"1 (1)"</f>
        <v>1 (1)</v>
      </c>
      <c r="D2118" s="2" t="s">
        <v>7040</v>
      </c>
      <c r="E2118" s="5" t="s">
        <v>7041</v>
      </c>
      <c r="F2118" s="3" t="s">
        <v>7042</v>
      </c>
      <c r="G2118" s="3" t="s">
        <v>6539</v>
      </c>
      <c r="H2118" s="2" t="str">
        <f>"2012"</f>
        <v>2012</v>
      </c>
      <c r="I2118" t="s">
        <v>14</v>
      </c>
      <c r="J2118" t="s">
        <v>15</v>
      </c>
    </row>
    <row r="2119" spans="1:10">
      <c r="A2119" s="2" t="str">
        <f>"2116"</f>
        <v>2116</v>
      </c>
      <c r="B2119" s="2" t="s">
        <v>9</v>
      </c>
      <c r="C2119" s="2" t="str">
        <f>"1 (1)"</f>
        <v>1 (1)</v>
      </c>
      <c r="D2119" s="2" t="s">
        <v>7043</v>
      </c>
      <c r="E2119" s="5" t="s">
        <v>7044</v>
      </c>
      <c r="F2119" s="3" t="s">
        <v>7045</v>
      </c>
      <c r="G2119" s="3" t="s">
        <v>6539</v>
      </c>
      <c r="H2119" s="2" t="str">
        <f>"2013"</f>
        <v>2013</v>
      </c>
      <c r="I2119" t="s">
        <v>14</v>
      </c>
      <c r="J2119" t="s">
        <v>15</v>
      </c>
    </row>
    <row r="2120" spans="1:10">
      <c r="A2120" s="2" t="str">
        <f>"2117"</f>
        <v>2117</v>
      </c>
      <c r="B2120" s="2" t="s">
        <v>9</v>
      </c>
      <c r="C2120" s="2" t="str">
        <f>"1 (1)"</f>
        <v>1 (1)</v>
      </c>
      <c r="D2120" s="2" t="s">
        <v>7046</v>
      </c>
      <c r="E2120" s="5" t="s">
        <v>7047</v>
      </c>
      <c r="F2120" s="3" t="s">
        <v>7048</v>
      </c>
      <c r="G2120" s="3" t="s">
        <v>289</v>
      </c>
      <c r="H2120" s="2" t="str">
        <f>"2013"</f>
        <v>2013</v>
      </c>
      <c r="I2120" t="s">
        <v>14</v>
      </c>
      <c r="J2120" t="s">
        <v>15</v>
      </c>
    </row>
    <row r="2121" spans="1:10">
      <c r="A2121" s="2" t="str">
        <f>"2118"</f>
        <v>2118</v>
      </c>
      <c r="B2121" s="2" t="s">
        <v>9</v>
      </c>
      <c r="C2121" s="2" t="str">
        <f>"1 (1)"</f>
        <v>1 (1)</v>
      </c>
      <c r="D2121" s="2" t="s">
        <v>7049</v>
      </c>
      <c r="E2121" s="5" t="s">
        <v>7050</v>
      </c>
      <c r="F2121" s="3" t="s">
        <v>7051</v>
      </c>
      <c r="G2121" s="3" t="s">
        <v>13</v>
      </c>
      <c r="H2121" s="2" t="str">
        <f>"2011"</f>
        <v>2011</v>
      </c>
      <c r="I2121" t="s">
        <v>14</v>
      </c>
      <c r="J2121" t="s">
        <v>15</v>
      </c>
    </row>
    <row r="2122" spans="1:10">
      <c r="A2122" s="2" t="str">
        <f>"2119"</f>
        <v>2119</v>
      </c>
      <c r="B2122" s="2" t="s">
        <v>9</v>
      </c>
      <c r="C2122" s="2" t="str">
        <f>"1 (1)"</f>
        <v>1 (1)</v>
      </c>
      <c r="D2122" s="2" t="s">
        <v>7052</v>
      </c>
      <c r="E2122" s="5" t="s">
        <v>7053</v>
      </c>
      <c r="F2122" s="3" t="s">
        <v>7054</v>
      </c>
      <c r="G2122" s="3" t="s">
        <v>7054</v>
      </c>
      <c r="H2122" s="2" t="str">
        <f>"2011"</f>
        <v>2011</v>
      </c>
      <c r="I2122" t="s">
        <v>14</v>
      </c>
      <c r="J2122" t="s">
        <v>15</v>
      </c>
    </row>
    <row r="2123" spans="1:10">
      <c r="A2123" s="2" t="str">
        <f>"2120"</f>
        <v>2120</v>
      </c>
      <c r="B2123" s="2" t="s">
        <v>9</v>
      </c>
      <c r="C2123" s="2" t="str">
        <f>"1 (1)"</f>
        <v>1 (1)</v>
      </c>
      <c r="D2123" s="2" t="s">
        <v>7055</v>
      </c>
      <c r="E2123" s="5" t="s">
        <v>7056</v>
      </c>
      <c r="F2123" s="3" t="s">
        <v>7057</v>
      </c>
      <c r="G2123" s="3" t="s">
        <v>7058</v>
      </c>
      <c r="H2123" s="2" t="str">
        <f>"2012"</f>
        <v>2012</v>
      </c>
      <c r="I2123" t="s">
        <v>14</v>
      </c>
      <c r="J2123" t="s">
        <v>15</v>
      </c>
    </row>
    <row r="2124" spans="1:10">
      <c r="A2124" s="2" t="str">
        <f>"2121"</f>
        <v>2121</v>
      </c>
      <c r="B2124" s="2" t="s">
        <v>9</v>
      </c>
      <c r="C2124" s="2" t="str">
        <f>"1 (1)"</f>
        <v>1 (1)</v>
      </c>
      <c r="D2124" s="2" t="s">
        <v>7059</v>
      </c>
      <c r="E2124" s="5" t="s">
        <v>7060</v>
      </c>
      <c r="F2124" s="3" t="s">
        <v>7061</v>
      </c>
      <c r="G2124" s="3" t="s">
        <v>7062</v>
      </c>
      <c r="H2124" s="2" t="str">
        <f>"2011"</f>
        <v>2011</v>
      </c>
      <c r="I2124" t="s">
        <v>14</v>
      </c>
      <c r="J2124" t="s">
        <v>15</v>
      </c>
    </row>
    <row r="2125" spans="1:10">
      <c r="A2125" s="2" t="str">
        <f>"2122"</f>
        <v>2122</v>
      </c>
      <c r="B2125" s="2" t="s">
        <v>9</v>
      </c>
      <c r="C2125" s="2" t="str">
        <f>"1 (1)"</f>
        <v>1 (1)</v>
      </c>
      <c r="D2125" s="2" t="s">
        <v>7063</v>
      </c>
      <c r="E2125" s="5" t="s">
        <v>7064</v>
      </c>
      <c r="F2125" s="3" t="s">
        <v>7065</v>
      </c>
      <c r="G2125" s="3" t="s">
        <v>7062</v>
      </c>
      <c r="H2125" s="2" t="str">
        <f>"2010"</f>
        <v>2010</v>
      </c>
      <c r="I2125" t="s">
        <v>14</v>
      </c>
      <c r="J2125" t="s">
        <v>15</v>
      </c>
    </row>
    <row r="2126" spans="1:10">
      <c r="A2126" s="2" t="str">
        <f>"2123"</f>
        <v>2123</v>
      </c>
      <c r="B2126" s="2" t="s">
        <v>9</v>
      </c>
      <c r="C2126" s="2" t="str">
        <f>"1 (1)"</f>
        <v>1 (1)</v>
      </c>
      <c r="D2126" s="2" t="s">
        <v>7066</v>
      </c>
      <c r="E2126" s="5" t="s">
        <v>7067</v>
      </c>
      <c r="F2126" s="3" t="s">
        <v>7068</v>
      </c>
      <c r="G2126" s="3" t="s">
        <v>7062</v>
      </c>
      <c r="H2126" s="2" t="str">
        <f>"2010"</f>
        <v>2010</v>
      </c>
      <c r="I2126" t="s">
        <v>14</v>
      </c>
      <c r="J2126" t="s">
        <v>15</v>
      </c>
    </row>
    <row r="2127" spans="1:10">
      <c r="A2127" s="2" t="str">
        <f>"2124"</f>
        <v>2124</v>
      </c>
      <c r="B2127" s="2" t="s">
        <v>9</v>
      </c>
      <c r="C2127" s="2" t="str">
        <f>"1 (1)"</f>
        <v>1 (1)</v>
      </c>
      <c r="D2127" s="2" t="s">
        <v>7069</v>
      </c>
      <c r="E2127" s="5" t="s">
        <v>7070</v>
      </c>
      <c r="F2127" s="3" t="s">
        <v>7061</v>
      </c>
      <c r="G2127" s="3" t="s">
        <v>7071</v>
      </c>
      <c r="H2127" s="2" t="str">
        <f>"2011"</f>
        <v>2011</v>
      </c>
      <c r="I2127" t="s">
        <v>14</v>
      </c>
      <c r="J2127" t="s">
        <v>15</v>
      </c>
    </row>
    <row r="2128" spans="1:10">
      <c r="A2128" s="2" t="str">
        <f>"2125"</f>
        <v>2125</v>
      </c>
      <c r="B2128" s="2" t="s">
        <v>9</v>
      </c>
      <c r="C2128" s="2" t="str">
        <f>"1 (1)"</f>
        <v>1 (1)</v>
      </c>
      <c r="D2128" s="2" t="s">
        <v>7072</v>
      </c>
      <c r="E2128" s="5" t="s">
        <v>7073</v>
      </c>
      <c r="F2128" s="3" t="s">
        <v>7074</v>
      </c>
      <c r="G2128" s="3" t="s">
        <v>7075</v>
      </c>
      <c r="H2128" s="2" t="str">
        <f>"2013"</f>
        <v>2013</v>
      </c>
      <c r="I2128" t="s">
        <v>14</v>
      </c>
      <c r="J2128" t="s">
        <v>15</v>
      </c>
    </row>
    <row r="2129" spans="1:10">
      <c r="A2129" s="2" t="str">
        <f>"2126"</f>
        <v>2126</v>
      </c>
      <c r="B2129" s="2" t="s">
        <v>9</v>
      </c>
      <c r="C2129" s="2" t="str">
        <f>"1 (1)"</f>
        <v>1 (1)</v>
      </c>
      <c r="D2129" s="2" t="s">
        <v>7076</v>
      </c>
      <c r="E2129" s="5" t="s">
        <v>7077</v>
      </c>
      <c r="F2129" s="3" t="s">
        <v>7078</v>
      </c>
      <c r="G2129" s="3" t="s">
        <v>4690</v>
      </c>
      <c r="H2129" s="2" t="str">
        <f>"2013"</f>
        <v>2013</v>
      </c>
      <c r="I2129" t="s">
        <v>14</v>
      </c>
      <c r="J2129" t="s">
        <v>15</v>
      </c>
    </row>
    <row r="2130" spans="1:10">
      <c r="A2130" s="2" t="str">
        <f>"2127"</f>
        <v>2127</v>
      </c>
      <c r="B2130" s="2" t="s">
        <v>9</v>
      </c>
      <c r="C2130" s="2" t="str">
        <f>"1 (1)"</f>
        <v>1 (1)</v>
      </c>
      <c r="D2130" s="2" t="s">
        <v>7079</v>
      </c>
      <c r="E2130" s="5" t="s">
        <v>7080</v>
      </c>
      <c r="F2130" s="3" t="s">
        <v>7081</v>
      </c>
      <c r="G2130" s="3" t="s">
        <v>1729</v>
      </c>
      <c r="H2130" s="2" t="str">
        <f>"2013"</f>
        <v>2013</v>
      </c>
      <c r="I2130" t="s">
        <v>14</v>
      </c>
      <c r="J2130" t="s">
        <v>15</v>
      </c>
    </row>
    <row r="2131" spans="1:10">
      <c r="A2131" s="2" t="str">
        <f>"2128"</f>
        <v>2128</v>
      </c>
      <c r="B2131" s="2" t="s">
        <v>9</v>
      </c>
      <c r="C2131" s="2" t="str">
        <f>"1 (1)"</f>
        <v>1 (1)</v>
      </c>
      <c r="D2131" s="2" t="s">
        <v>7082</v>
      </c>
      <c r="E2131" s="5" t="s">
        <v>7083</v>
      </c>
      <c r="F2131" s="3" t="s">
        <v>7084</v>
      </c>
      <c r="G2131" s="3" t="s">
        <v>7085</v>
      </c>
      <c r="H2131" s="2" t="str">
        <f>"2013"</f>
        <v>2013</v>
      </c>
      <c r="I2131" t="s">
        <v>14</v>
      </c>
      <c r="J2131" t="s">
        <v>15</v>
      </c>
    </row>
    <row r="2132" spans="1:10">
      <c r="A2132" s="2" t="str">
        <f>"2129"</f>
        <v>2129</v>
      </c>
      <c r="B2132" s="2" t="s">
        <v>9</v>
      </c>
      <c r="C2132" s="2" t="str">
        <f>"1 (1)"</f>
        <v>1 (1)</v>
      </c>
      <c r="D2132" s="2" t="s">
        <v>7086</v>
      </c>
      <c r="E2132" s="5" t="s">
        <v>7087</v>
      </c>
      <c r="F2132" s="3" t="s">
        <v>7088</v>
      </c>
      <c r="G2132" s="3" t="s">
        <v>1606</v>
      </c>
      <c r="H2132" s="2" t="str">
        <f>"2013"</f>
        <v>2013</v>
      </c>
      <c r="I2132" t="s">
        <v>14</v>
      </c>
      <c r="J2132" t="s">
        <v>15</v>
      </c>
    </row>
    <row r="2133" spans="1:10">
      <c r="A2133" s="2" t="str">
        <f>"2130"</f>
        <v>2130</v>
      </c>
      <c r="B2133" s="2" t="s">
        <v>9</v>
      </c>
      <c r="C2133" s="2" t="str">
        <f>"1 (1)"</f>
        <v>1 (1)</v>
      </c>
      <c r="D2133" s="2" t="s">
        <v>7089</v>
      </c>
      <c r="E2133" s="5" t="s">
        <v>7090</v>
      </c>
      <c r="F2133" s="3" t="s">
        <v>7091</v>
      </c>
      <c r="G2133" s="3" t="s">
        <v>3509</v>
      </c>
      <c r="H2133" s="2" t="str">
        <f>"2012"</f>
        <v>2012</v>
      </c>
      <c r="I2133" t="s">
        <v>14</v>
      </c>
      <c r="J2133" t="s">
        <v>15</v>
      </c>
    </row>
    <row r="2134" spans="1:10">
      <c r="A2134" s="2" t="str">
        <f>"2131"</f>
        <v>2131</v>
      </c>
      <c r="B2134" s="2" t="s">
        <v>9</v>
      </c>
      <c r="C2134" s="2" t="str">
        <f>"1 (1)"</f>
        <v>1 (1)</v>
      </c>
      <c r="D2134" s="2" t="s">
        <v>7092</v>
      </c>
      <c r="E2134" s="5" t="s">
        <v>7093</v>
      </c>
      <c r="F2134" s="3" t="s">
        <v>7094</v>
      </c>
      <c r="G2134" s="3" t="s">
        <v>7095</v>
      </c>
      <c r="H2134" s="2" t="str">
        <f>"2013"</f>
        <v>2013</v>
      </c>
      <c r="I2134" t="s">
        <v>14</v>
      </c>
      <c r="J2134" t="s">
        <v>15</v>
      </c>
    </row>
    <row r="2135" spans="1:10">
      <c r="A2135" s="2" t="str">
        <f>"2132"</f>
        <v>2132</v>
      </c>
      <c r="B2135" s="2" t="s">
        <v>9</v>
      </c>
      <c r="C2135" s="2" t="str">
        <f>"1 (1)"</f>
        <v>1 (1)</v>
      </c>
      <c r="D2135" s="2" t="s">
        <v>7096</v>
      </c>
      <c r="E2135" s="5" t="s">
        <v>7097</v>
      </c>
      <c r="F2135" s="3" t="s">
        <v>7098</v>
      </c>
      <c r="G2135" s="3" t="s">
        <v>7099</v>
      </c>
      <c r="H2135" s="2" t="str">
        <f>"2011"</f>
        <v>2011</v>
      </c>
      <c r="I2135" t="s">
        <v>14</v>
      </c>
      <c r="J2135" t="s">
        <v>15</v>
      </c>
    </row>
    <row r="2136" spans="1:10">
      <c r="A2136" s="2" t="str">
        <f>"2133"</f>
        <v>2133</v>
      </c>
      <c r="B2136" s="2" t="s">
        <v>9</v>
      </c>
      <c r="C2136" s="2" t="str">
        <f>"1 (1)"</f>
        <v>1 (1)</v>
      </c>
      <c r="D2136" s="2" t="s">
        <v>7100</v>
      </c>
      <c r="E2136" s="5" t="s">
        <v>7101</v>
      </c>
      <c r="F2136" s="3" t="s">
        <v>7102</v>
      </c>
      <c r="G2136" s="3" t="s">
        <v>1899</v>
      </c>
      <c r="H2136" s="2" t="str">
        <f>"2013"</f>
        <v>2013</v>
      </c>
      <c r="I2136" t="s">
        <v>14</v>
      </c>
      <c r="J2136" t="s">
        <v>15</v>
      </c>
    </row>
    <row r="2137" spans="1:10">
      <c r="A2137" s="2" t="str">
        <f>"2134"</f>
        <v>2134</v>
      </c>
      <c r="B2137" s="2" t="s">
        <v>9</v>
      </c>
      <c r="C2137" s="2" t="str">
        <f>"1 (1)"</f>
        <v>1 (1)</v>
      </c>
      <c r="D2137" s="2" t="s">
        <v>7103</v>
      </c>
      <c r="E2137" s="5" t="s">
        <v>7104</v>
      </c>
      <c r="F2137" s="3" t="s">
        <v>7105</v>
      </c>
      <c r="G2137" s="3" t="s">
        <v>5745</v>
      </c>
      <c r="H2137" s="2" t="str">
        <f>"2013"</f>
        <v>2013</v>
      </c>
      <c r="I2137" t="s">
        <v>14</v>
      </c>
      <c r="J2137" t="s">
        <v>15</v>
      </c>
    </row>
    <row r="2138" spans="1:10">
      <c r="A2138" s="2" t="str">
        <f>"2135"</f>
        <v>2135</v>
      </c>
      <c r="B2138" s="2" t="s">
        <v>9</v>
      </c>
      <c r="C2138" s="2" t="str">
        <f>"1 (1)"</f>
        <v>1 (1)</v>
      </c>
      <c r="D2138" s="2" t="s">
        <v>7106</v>
      </c>
      <c r="E2138" s="5" t="s">
        <v>7107</v>
      </c>
      <c r="F2138" s="3" t="s">
        <v>7108</v>
      </c>
      <c r="G2138" s="3" t="s">
        <v>7109</v>
      </c>
      <c r="H2138" s="2" t="str">
        <f>"2012"</f>
        <v>2012</v>
      </c>
      <c r="I2138" t="s">
        <v>14</v>
      </c>
      <c r="J2138" t="s">
        <v>15</v>
      </c>
    </row>
    <row r="2139" spans="1:10">
      <c r="A2139" s="2" t="str">
        <f>"2136"</f>
        <v>2136</v>
      </c>
      <c r="B2139" s="2" t="s">
        <v>9</v>
      </c>
      <c r="C2139" s="2" t="str">
        <f>"1 (1)"</f>
        <v>1 (1)</v>
      </c>
      <c r="D2139" s="2" t="s">
        <v>7110</v>
      </c>
      <c r="E2139" s="5" t="s">
        <v>7111</v>
      </c>
      <c r="F2139" s="3" t="s">
        <v>7112</v>
      </c>
      <c r="G2139" s="3" t="s">
        <v>7113</v>
      </c>
      <c r="H2139" s="2" t="str">
        <f>"2013"</f>
        <v>2013</v>
      </c>
      <c r="I2139" t="s">
        <v>14</v>
      </c>
      <c r="J2139" t="s">
        <v>15</v>
      </c>
    </row>
    <row r="2140" spans="1:10">
      <c r="A2140" s="2" t="str">
        <f>"2137"</f>
        <v>2137</v>
      </c>
      <c r="B2140" s="2" t="s">
        <v>9</v>
      </c>
      <c r="C2140" s="2" t="str">
        <f>"1 (1)"</f>
        <v>1 (1)</v>
      </c>
      <c r="D2140" s="2" t="s">
        <v>7114</v>
      </c>
      <c r="E2140" s="5" t="s">
        <v>7115</v>
      </c>
      <c r="F2140" s="3" t="s">
        <v>7116</v>
      </c>
      <c r="G2140" s="3" t="s">
        <v>7117</v>
      </c>
      <c r="H2140" s="2" t="str">
        <f>"2013"</f>
        <v>2013</v>
      </c>
      <c r="I2140" t="s">
        <v>14</v>
      </c>
      <c r="J2140" t="s">
        <v>15</v>
      </c>
    </row>
    <row r="2141" spans="1:10">
      <c r="A2141" s="2" t="str">
        <f>"2138"</f>
        <v>2138</v>
      </c>
      <c r="B2141" s="2" t="s">
        <v>9</v>
      </c>
      <c r="C2141" s="2" t="str">
        <f>"1 (1)"</f>
        <v>1 (1)</v>
      </c>
      <c r="D2141" s="2" t="s">
        <v>7118</v>
      </c>
      <c r="E2141" s="5" t="s">
        <v>7119</v>
      </c>
      <c r="F2141" s="3" t="s">
        <v>7120</v>
      </c>
      <c r="G2141" s="3" t="s">
        <v>7121</v>
      </c>
      <c r="H2141" s="2" t="str">
        <f>"2011"</f>
        <v>2011</v>
      </c>
      <c r="I2141" t="s">
        <v>14</v>
      </c>
      <c r="J2141" t="s">
        <v>15</v>
      </c>
    </row>
    <row r="2142" spans="1:10">
      <c r="A2142" s="2" t="str">
        <f>"2139"</f>
        <v>2139</v>
      </c>
      <c r="B2142" s="2" t="s">
        <v>9</v>
      </c>
      <c r="C2142" s="2" t="str">
        <f>"1 (1)"</f>
        <v>1 (1)</v>
      </c>
      <c r="D2142" s="2" t="s">
        <v>7122</v>
      </c>
      <c r="E2142" s="5" t="s">
        <v>7123</v>
      </c>
      <c r="F2142" s="3" t="s">
        <v>7124</v>
      </c>
      <c r="G2142" s="3" t="s">
        <v>1129</v>
      </c>
      <c r="H2142" s="2" t="str">
        <f>"2013"</f>
        <v>2013</v>
      </c>
      <c r="I2142" t="s">
        <v>14</v>
      </c>
      <c r="J2142" t="s">
        <v>15</v>
      </c>
    </row>
    <row r="2143" spans="1:10">
      <c r="A2143" s="2" t="str">
        <f>"2140"</f>
        <v>2140</v>
      </c>
      <c r="B2143" s="2" t="s">
        <v>9</v>
      </c>
      <c r="C2143" s="2" t="str">
        <f>"1 (1)"</f>
        <v>1 (1)</v>
      </c>
      <c r="D2143" s="2" t="s">
        <v>7125</v>
      </c>
      <c r="E2143" s="5" t="s">
        <v>7126</v>
      </c>
      <c r="F2143" s="3" t="s">
        <v>7127</v>
      </c>
      <c r="G2143" s="3" t="s">
        <v>7128</v>
      </c>
      <c r="H2143" s="2" t="str">
        <f>"2012"</f>
        <v>2012</v>
      </c>
      <c r="I2143" t="s">
        <v>14</v>
      </c>
      <c r="J2143" t="s">
        <v>15</v>
      </c>
    </row>
    <row r="2144" spans="1:10">
      <c r="A2144" s="2" t="str">
        <f>"2141"</f>
        <v>2141</v>
      </c>
      <c r="B2144" s="2" t="s">
        <v>9</v>
      </c>
      <c r="C2144" s="2" t="str">
        <f>"1 (1)"</f>
        <v>1 (1)</v>
      </c>
      <c r="D2144" s="2" t="s">
        <v>7129</v>
      </c>
      <c r="E2144" s="5" t="str">
        <f>"10원으로 뭐하지"</f>
        <v>10원으로 뭐하지</v>
      </c>
      <c r="F2144" s="3" t="s">
        <v>7130</v>
      </c>
      <c r="G2144" s="3" t="s">
        <v>7131</v>
      </c>
      <c r="H2144" s="2" t="str">
        <f>"2012"</f>
        <v>2012</v>
      </c>
      <c r="I2144" t="s">
        <v>14</v>
      </c>
      <c r="J2144" t="s">
        <v>15</v>
      </c>
    </row>
    <row r="2145" spans="1:10">
      <c r="A2145" s="2" t="str">
        <f>"2142"</f>
        <v>2142</v>
      </c>
      <c r="B2145" s="2" t="s">
        <v>9</v>
      </c>
      <c r="C2145" s="2" t="str">
        <f>"1 (1)"</f>
        <v>1 (1)</v>
      </c>
      <c r="D2145" s="2" t="s">
        <v>7132</v>
      </c>
      <c r="E2145" s="5" t="str">
        <f>"6월1일 절교의 날 1 : 고재미 이야기"</f>
        <v>6월1일 절교의 날 1 : 고재미 이야기</v>
      </c>
      <c r="F2145" s="3" t="s">
        <v>7133</v>
      </c>
      <c r="G2145" s="3" t="s">
        <v>58</v>
      </c>
      <c r="H2145" s="2" t="str">
        <f>"2013"</f>
        <v>2013</v>
      </c>
      <c r="I2145" t="s">
        <v>14</v>
      </c>
      <c r="J2145" t="s">
        <v>15</v>
      </c>
    </row>
    <row r="2146" spans="1:10">
      <c r="A2146" s="2" t="str">
        <f>"2143"</f>
        <v>2143</v>
      </c>
      <c r="B2146" s="2" t="s">
        <v>9</v>
      </c>
      <c r="C2146" s="2" t="str">
        <f>"1 (1)"</f>
        <v>1 (1)</v>
      </c>
      <c r="D2146" s="2" t="s">
        <v>7134</v>
      </c>
      <c r="E2146" s="5" t="s">
        <v>7135</v>
      </c>
      <c r="F2146" s="3" t="s">
        <v>7136</v>
      </c>
      <c r="G2146" s="3" t="s">
        <v>384</v>
      </c>
      <c r="H2146" s="2" t="str">
        <f>"2012"</f>
        <v>2012</v>
      </c>
      <c r="I2146" t="s">
        <v>14</v>
      </c>
      <c r="J2146" t="s">
        <v>15</v>
      </c>
    </row>
    <row r="2147" spans="1:10">
      <c r="A2147" s="2" t="str">
        <f>"2144"</f>
        <v>2144</v>
      </c>
      <c r="B2147" s="2" t="s">
        <v>9</v>
      </c>
      <c r="C2147" s="2" t="str">
        <f>"1 (1)"</f>
        <v>1 (1)</v>
      </c>
      <c r="D2147" s="2" t="s">
        <v>7137</v>
      </c>
      <c r="E2147" s="5" t="s">
        <v>7138</v>
      </c>
      <c r="F2147" s="3" t="s">
        <v>7139</v>
      </c>
      <c r="G2147" s="3" t="s">
        <v>1010</v>
      </c>
      <c r="H2147" s="2" t="str">
        <f>"2012"</f>
        <v>2012</v>
      </c>
      <c r="I2147" t="s">
        <v>14</v>
      </c>
      <c r="J2147" t="s">
        <v>15</v>
      </c>
    </row>
    <row r="2148" spans="1:10">
      <c r="A2148" s="2" t="str">
        <f>"2145"</f>
        <v>2145</v>
      </c>
      <c r="B2148" s="2" t="s">
        <v>9</v>
      </c>
      <c r="C2148" s="2" t="str">
        <f>"1 (1)"</f>
        <v>1 (1)</v>
      </c>
      <c r="D2148" s="2" t="s">
        <v>7140</v>
      </c>
      <c r="E2148" s="5" t="s">
        <v>7141</v>
      </c>
      <c r="F2148" s="3" t="s">
        <v>7142</v>
      </c>
      <c r="G2148" s="3" t="s">
        <v>1248</v>
      </c>
      <c r="H2148" s="2" t="str">
        <f>"2013"</f>
        <v>2013</v>
      </c>
      <c r="I2148" t="s">
        <v>14</v>
      </c>
      <c r="J2148" t="s">
        <v>15</v>
      </c>
    </row>
    <row r="2149" spans="1:10">
      <c r="A2149" s="2" t="str">
        <f>"2146"</f>
        <v>2146</v>
      </c>
      <c r="B2149" s="2" t="s">
        <v>9</v>
      </c>
      <c r="C2149" s="2" t="str">
        <f>"1 (1)"</f>
        <v>1 (1)</v>
      </c>
      <c r="D2149" s="2" t="s">
        <v>7143</v>
      </c>
      <c r="E2149" s="5" t="s">
        <v>7144</v>
      </c>
      <c r="F2149" s="3" t="s">
        <v>7145</v>
      </c>
      <c r="G2149" s="3" t="s">
        <v>2421</v>
      </c>
      <c r="H2149" s="2" t="str">
        <f>"2013"</f>
        <v>2013</v>
      </c>
      <c r="I2149" t="s">
        <v>14</v>
      </c>
      <c r="J2149" t="s">
        <v>15</v>
      </c>
    </row>
    <row r="2150" spans="1:10">
      <c r="A2150" s="2" t="str">
        <f>"2147"</f>
        <v>2147</v>
      </c>
      <c r="B2150" s="2" t="s">
        <v>9</v>
      </c>
      <c r="C2150" s="2" t="str">
        <f>"1 (1)"</f>
        <v>1 (1)</v>
      </c>
      <c r="D2150" s="2" t="s">
        <v>7146</v>
      </c>
      <c r="E2150" s="5" t="s">
        <v>7147</v>
      </c>
      <c r="F2150" s="3" t="s">
        <v>7148</v>
      </c>
      <c r="G2150" s="3" t="s">
        <v>7149</v>
      </c>
      <c r="H2150" s="2" t="str">
        <f>"2013"</f>
        <v>2013</v>
      </c>
      <c r="I2150" t="s">
        <v>14</v>
      </c>
      <c r="J2150" t="s">
        <v>15</v>
      </c>
    </row>
    <row r="2151" spans="1:10">
      <c r="A2151" s="2" t="str">
        <f>"2148"</f>
        <v>2148</v>
      </c>
      <c r="B2151" s="2" t="s">
        <v>9</v>
      </c>
      <c r="C2151" s="2" t="str">
        <f>"1 (1)"</f>
        <v>1 (1)</v>
      </c>
      <c r="D2151" s="2" t="s">
        <v>7150</v>
      </c>
      <c r="E2151" s="5" t="s">
        <v>7151</v>
      </c>
      <c r="F2151" s="3" t="s">
        <v>7152</v>
      </c>
      <c r="G2151" s="3" t="s">
        <v>7153</v>
      </c>
      <c r="H2151" s="2" t="str">
        <f>"2013"</f>
        <v>2013</v>
      </c>
      <c r="I2151" t="s">
        <v>14</v>
      </c>
      <c r="J2151" t="s">
        <v>15</v>
      </c>
    </row>
    <row r="2152" spans="1:10">
      <c r="A2152" s="2" t="str">
        <f>"2149"</f>
        <v>2149</v>
      </c>
      <c r="B2152" s="2" t="s">
        <v>9</v>
      </c>
      <c r="C2152" s="2" t="str">
        <f>"1 (1)"</f>
        <v>1 (1)</v>
      </c>
      <c r="D2152" s="2" t="s">
        <v>7154</v>
      </c>
      <c r="E2152" s="5" t="s">
        <v>7155</v>
      </c>
      <c r="F2152" s="3" t="s">
        <v>7156</v>
      </c>
      <c r="G2152" s="3" t="s">
        <v>1143</v>
      </c>
      <c r="H2152" s="2" t="str">
        <f>"2013"</f>
        <v>2013</v>
      </c>
      <c r="I2152" t="s">
        <v>14</v>
      </c>
      <c r="J2152" t="s">
        <v>15</v>
      </c>
    </row>
    <row r="2153" spans="1:10">
      <c r="A2153" s="2" t="str">
        <f>"2150"</f>
        <v>2150</v>
      </c>
      <c r="B2153" s="2" t="s">
        <v>9</v>
      </c>
      <c r="C2153" s="2" t="str">
        <f>"1 (1)"</f>
        <v>1 (1)</v>
      </c>
      <c r="D2153" s="2" t="s">
        <v>7157</v>
      </c>
      <c r="E2153" s="5" t="s">
        <v>7158</v>
      </c>
      <c r="F2153" s="3" t="s">
        <v>7159</v>
      </c>
      <c r="G2153" s="3" t="s">
        <v>114</v>
      </c>
      <c r="H2153" s="2" t="str">
        <f>"2013"</f>
        <v>2013</v>
      </c>
      <c r="I2153" t="s">
        <v>14</v>
      </c>
      <c r="J2153" t="s">
        <v>15</v>
      </c>
    </row>
    <row r="2154" spans="1:10">
      <c r="A2154" s="2" t="str">
        <f>"2151"</f>
        <v>2151</v>
      </c>
      <c r="B2154" s="2" t="s">
        <v>9</v>
      </c>
      <c r="C2154" s="2" t="str">
        <f>"1 (1)"</f>
        <v>1 (1)</v>
      </c>
      <c r="D2154" s="2" t="s">
        <v>7160</v>
      </c>
      <c r="E2154" s="5" t="s">
        <v>7161</v>
      </c>
      <c r="F2154" s="3" t="s">
        <v>7162</v>
      </c>
      <c r="G2154" s="3" t="s">
        <v>114</v>
      </c>
      <c r="H2154" s="2" t="str">
        <f>"2013"</f>
        <v>2013</v>
      </c>
      <c r="I2154" t="s">
        <v>14</v>
      </c>
      <c r="J2154" t="s">
        <v>15</v>
      </c>
    </row>
    <row r="2155" spans="1:10">
      <c r="A2155" s="2" t="str">
        <f>"2152"</f>
        <v>2152</v>
      </c>
      <c r="B2155" s="2" t="s">
        <v>9</v>
      </c>
      <c r="C2155" s="2" t="str">
        <f>"1 (1)"</f>
        <v>1 (1)</v>
      </c>
      <c r="D2155" s="2" t="s">
        <v>7163</v>
      </c>
      <c r="E2155" s="5" t="s">
        <v>7164</v>
      </c>
      <c r="F2155" s="3" t="s">
        <v>7165</v>
      </c>
      <c r="G2155" s="3" t="s">
        <v>114</v>
      </c>
      <c r="H2155" s="2" t="str">
        <f>"2013"</f>
        <v>2013</v>
      </c>
      <c r="I2155" t="s">
        <v>14</v>
      </c>
      <c r="J2155" t="s">
        <v>15</v>
      </c>
    </row>
    <row r="2156" spans="1:10">
      <c r="A2156" s="2" t="str">
        <f>"2153"</f>
        <v>2153</v>
      </c>
      <c r="B2156" s="2" t="s">
        <v>9</v>
      </c>
      <c r="C2156" s="2" t="str">
        <f>"1 (1)"</f>
        <v>1 (1)</v>
      </c>
      <c r="D2156" s="2" t="s">
        <v>7166</v>
      </c>
      <c r="E2156" s="5" t="s">
        <v>7167</v>
      </c>
      <c r="F2156" s="3" t="s">
        <v>7168</v>
      </c>
      <c r="G2156" s="3" t="s">
        <v>114</v>
      </c>
      <c r="H2156" s="2" t="str">
        <f>"2011"</f>
        <v>2011</v>
      </c>
      <c r="I2156" t="s">
        <v>14</v>
      </c>
      <c r="J2156" t="s">
        <v>15</v>
      </c>
    </row>
    <row r="2157" spans="1:10">
      <c r="A2157" s="2" t="str">
        <f>"2154"</f>
        <v>2154</v>
      </c>
      <c r="B2157" s="2" t="s">
        <v>9</v>
      </c>
      <c r="C2157" s="2" t="str">
        <f>"1 (1)"</f>
        <v>1 (1)</v>
      </c>
      <c r="D2157" s="2" t="s">
        <v>7169</v>
      </c>
      <c r="E2157" s="5" t="s">
        <v>7170</v>
      </c>
      <c r="F2157" s="3" t="s">
        <v>7171</v>
      </c>
      <c r="G2157" s="3" t="s">
        <v>7172</v>
      </c>
      <c r="H2157" s="2" t="str">
        <f>"2012"</f>
        <v>2012</v>
      </c>
      <c r="I2157" t="s">
        <v>14</v>
      </c>
      <c r="J2157" t="s">
        <v>15</v>
      </c>
    </row>
    <row r="2158" spans="1:10">
      <c r="A2158" s="2" t="str">
        <f>"2155"</f>
        <v>2155</v>
      </c>
      <c r="B2158" s="2" t="s">
        <v>9</v>
      </c>
      <c r="C2158" s="2" t="str">
        <f>"1 (1)"</f>
        <v>1 (1)</v>
      </c>
      <c r="D2158" s="2" t="s">
        <v>7173</v>
      </c>
      <c r="E2158" s="5" t="s">
        <v>7174</v>
      </c>
      <c r="F2158" s="3" t="s">
        <v>7175</v>
      </c>
      <c r="G2158" s="3" t="s">
        <v>156</v>
      </c>
      <c r="H2158" s="2" t="str">
        <f>"2013"</f>
        <v>2013</v>
      </c>
      <c r="I2158" t="s">
        <v>14</v>
      </c>
      <c r="J2158" t="s">
        <v>15</v>
      </c>
    </row>
    <row r="2159" spans="1:10">
      <c r="A2159" s="2" t="str">
        <f>"2156"</f>
        <v>2156</v>
      </c>
      <c r="B2159" s="2" t="s">
        <v>9</v>
      </c>
      <c r="C2159" s="2" t="str">
        <f>"1 (1)"</f>
        <v>1 (1)</v>
      </c>
      <c r="D2159" s="2" t="s">
        <v>7176</v>
      </c>
      <c r="E2159" s="5" t="s">
        <v>7177</v>
      </c>
      <c r="F2159" s="3" t="s">
        <v>7178</v>
      </c>
      <c r="G2159" s="3" t="s">
        <v>6525</v>
      </c>
      <c r="H2159" s="2" t="str">
        <f>"2013"</f>
        <v>2013</v>
      </c>
      <c r="I2159" t="s">
        <v>14</v>
      </c>
      <c r="J2159" t="s">
        <v>15</v>
      </c>
    </row>
    <row r="2160" spans="1:10">
      <c r="A2160" s="2" t="str">
        <f>"2157"</f>
        <v>2157</v>
      </c>
      <c r="B2160" s="2" t="s">
        <v>9</v>
      </c>
      <c r="C2160" s="2" t="str">
        <f>"1 (1)"</f>
        <v>1 (1)</v>
      </c>
      <c r="D2160" s="2" t="s">
        <v>7179</v>
      </c>
      <c r="E2160" s="5" t="s">
        <v>7180</v>
      </c>
      <c r="F2160" s="3" t="s">
        <v>7181</v>
      </c>
      <c r="G2160" s="3" t="s">
        <v>156</v>
      </c>
      <c r="H2160" s="2" t="str">
        <f>"2013"</f>
        <v>2013</v>
      </c>
      <c r="I2160" t="s">
        <v>14</v>
      </c>
      <c r="J2160" t="s">
        <v>15</v>
      </c>
    </row>
    <row r="2161" spans="1:10">
      <c r="A2161" s="2" t="str">
        <f>"2158"</f>
        <v>2158</v>
      </c>
      <c r="B2161" s="2" t="s">
        <v>9</v>
      </c>
      <c r="C2161" s="2" t="str">
        <f>"1 (1)"</f>
        <v>1 (1)</v>
      </c>
      <c r="D2161" s="2" t="s">
        <v>7182</v>
      </c>
      <c r="E2161" s="5" t="s">
        <v>7183</v>
      </c>
      <c r="F2161" s="3" t="s">
        <v>7184</v>
      </c>
      <c r="G2161" s="3" t="s">
        <v>7185</v>
      </c>
      <c r="H2161" s="2" t="str">
        <f>"2013"</f>
        <v>2013</v>
      </c>
      <c r="I2161" t="s">
        <v>14</v>
      </c>
      <c r="J2161" t="s">
        <v>15</v>
      </c>
    </row>
    <row r="2162" spans="1:10">
      <c r="A2162" s="2" t="str">
        <f>"2159"</f>
        <v>2159</v>
      </c>
      <c r="B2162" s="2" t="s">
        <v>9</v>
      </c>
      <c r="C2162" s="2" t="str">
        <f>"1 (1)"</f>
        <v>1 (1)</v>
      </c>
      <c r="D2162" s="2" t="s">
        <v>7186</v>
      </c>
      <c r="E2162" s="5" t="s">
        <v>7187</v>
      </c>
      <c r="F2162" s="3" t="s">
        <v>7188</v>
      </c>
      <c r="G2162" s="3" t="s">
        <v>384</v>
      </c>
      <c r="H2162" s="2" t="str">
        <f>"2012"</f>
        <v>2012</v>
      </c>
      <c r="I2162" t="s">
        <v>14</v>
      </c>
      <c r="J2162" t="s">
        <v>15</v>
      </c>
    </row>
    <row r="2163" spans="1:10">
      <c r="A2163" s="2" t="str">
        <f>"2160"</f>
        <v>2160</v>
      </c>
      <c r="B2163" s="2" t="s">
        <v>9</v>
      </c>
      <c r="C2163" s="2" t="str">
        <f>"1 (1)"</f>
        <v>1 (1)</v>
      </c>
      <c r="D2163" s="2" t="s">
        <v>7189</v>
      </c>
      <c r="E2163" s="5" t="s">
        <v>7190</v>
      </c>
      <c r="F2163" s="3" t="s">
        <v>7191</v>
      </c>
      <c r="G2163" s="3" t="s">
        <v>4949</v>
      </c>
      <c r="H2163" s="2" t="str">
        <f>"2013"</f>
        <v>2013</v>
      </c>
      <c r="I2163" t="s">
        <v>14</v>
      </c>
      <c r="J2163" t="s">
        <v>15</v>
      </c>
    </row>
    <row r="2164" spans="1:10">
      <c r="A2164" s="2" t="str">
        <f>"2161"</f>
        <v>2161</v>
      </c>
      <c r="B2164" s="2" t="s">
        <v>9</v>
      </c>
      <c r="C2164" s="2" t="str">
        <f>"1 (1)"</f>
        <v>1 (1)</v>
      </c>
      <c r="D2164" s="2" t="s">
        <v>7192</v>
      </c>
      <c r="E2164" s="5" t="s">
        <v>7193</v>
      </c>
      <c r="F2164" s="3" t="s">
        <v>7194</v>
      </c>
      <c r="G2164" s="3" t="s">
        <v>832</v>
      </c>
      <c r="H2164" s="2" t="str">
        <f>"2013"</f>
        <v>2013</v>
      </c>
      <c r="I2164" t="s">
        <v>14</v>
      </c>
      <c r="J2164" t="s">
        <v>15</v>
      </c>
    </row>
    <row r="2165" spans="1:10">
      <c r="A2165" s="2" t="str">
        <f>"2162"</f>
        <v>2162</v>
      </c>
      <c r="B2165" s="2" t="s">
        <v>9</v>
      </c>
      <c r="C2165" s="2" t="str">
        <f>"1 (1)"</f>
        <v>1 (1)</v>
      </c>
      <c r="D2165" s="2" t="s">
        <v>7195</v>
      </c>
      <c r="E2165" s="5" t="s">
        <v>7196</v>
      </c>
      <c r="F2165" s="3" t="s">
        <v>7197</v>
      </c>
      <c r="G2165" s="3" t="s">
        <v>7198</v>
      </c>
      <c r="H2165" s="2" t="str">
        <f>"2013"</f>
        <v>2013</v>
      </c>
      <c r="I2165" t="s">
        <v>14</v>
      </c>
      <c r="J2165" t="s">
        <v>15</v>
      </c>
    </row>
    <row r="2166" spans="1:10">
      <c r="A2166" s="2" t="str">
        <f>"2163"</f>
        <v>2163</v>
      </c>
      <c r="B2166" s="2" t="s">
        <v>9</v>
      </c>
      <c r="C2166" s="2" t="str">
        <f>"1 (1)"</f>
        <v>1 (1)</v>
      </c>
      <c r="D2166" s="2" t="s">
        <v>7199</v>
      </c>
      <c r="E2166" s="5" t="s">
        <v>7200</v>
      </c>
      <c r="F2166" s="3" t="s">
        <v>7201</v>
      </c>
      <c r="G2166" s="3" t="s">
        <v>3933</v>
      </c>
      <c r="H2166" s="2" t="str">
        <f>"2012"</f>
        <v>2012</v>
      </c>
      <c r="I2166" t="s">
        <v>14</v>
      </c>
      <c r="J2166" t="s">
        <v>15</v>
      </c>
    </row>
    <row r="2167" spans="1:10">
      <c r="A2167" s="2" t="str">
        <f>"2164"</f>
        <v>2164</v>
      </c>
      <c r="B2167" s="2" t="s">
        <v>9</v>
      </c>
      <c r="C2167" s="2" t="str">
        <f>"1 (1)"</f>
        <v>1 (1)</v>
      </c>
      <c r="D2167" s="2" t="s">
        <v>7202</v>
      </c>
      <c r="E2167" s="5" t="s">
        <v>7203</v>
      </c>
      <c r="F2167" s="3" t="s">
        <v>7204</v>
      </c>
      <c r="G2167" s="3" t="s">
        <v>6525</v>
      </c>
      <c r="H2167" s="2" t="str">
        <f>"2013"</f>
        <v>2013</v>
      </c>
      <c r="I2167" t="s">
        <v>14</v>
      </c>
      <c r="J2167" t="s">
        <v>15</v>
      </c>
    </row>
    <row r="2168" spans="1:10">
      <c r="A2168" s="2" t="str">
        <f>"2165"</f>
        <v>2165</v>
      </c>
      <c r="B2168" s="2" t="s">
        <v>9</v>
      </c>
      <c r="C2168" s="2" t="str">
        <f>"1 (1)"</f>
        <v>1 (1)</v>
      </c>
      <c r="D2168" s="2" t="s">
        <v>7205</v>
      </c>
      <c r="E2168" s="5" t="s">
        <v>7206</v>
      </c>
      <c r="F2168" s="3" t="s">
        <v>7207</v>
      </c>
      <c r="G2168" s="3" t="s">
        <v>876</v>
      </c>
      <c r="H2168" s="2" t="str">
        <f>"2012"</f>
        <v>2012</v>
      </c>
      <c r="I2168" t="s">
        <v>14</v>
      </c>
      <c r="J2168" t="s">
        <v>15</v>
      </c>
    </row>
    <row r="2169" spans="1:10">
      <c r="A2169" s="2" t="str">
        <f>"2166"</f>
        <v>2166</v>
      </c>
      <c r="B2169" s="2" t="s">
        <v>9</v>
      </c>
      <c r="C2169" s="2" t="str">
        <f>"1 (1)"</f>
        <v>1 (1)</v>
      </c>
      <c r="D2169" s="2" t="s">
        <v>7208</v>
      </c>
      <c r="E2169" s="5" t="s">
        <v>7209</v>
      </c>
      <c r="F2169" s="3" t="s">
        <v>7210</v>
      </c>
      <c r="G2169" s="3" t="s">
        <v>3140</v>
      </c>
      <c r="H2169" s="2" t="str">
        <f>"2012"</f>
        <v>2012</v>
      </c>
      <c r="I2169" t="s">
        <v>14</v>
      </c>
      <c r="J2169" t="s">
        <v>15</v>
      </c>
    </row>
    <row r="2170" spans="1:10">
      <c r="A2170" s="2" t="str">
        <f>"2167"</f>
        <v>2167</v>
      </c>
      <c r="B2170" s="2" t="s">
        <v>9</v>
      </c>
      <c r="C2170" s="2" t="str">
        <f>"1 (1)"</f>
        <v>1 (1)</v>
      </c>
      <c r="D2170" s="2" t="s">
        <v>7211</v>
      </c>
      <c r="E2170" s="5" t="s">
        <v>7212</v>
      </c>
      <c r="F2170" s="3" t="s">
        <v>7213</v>
      </c>
      <c r="G2170" s="3" t="s">
        <v>7214</v>
      </c>
      <c r="H2170" s="2" t="str">
        <f>"2012"</f>
        <v>2012</v>
      </c>
      <c r="I2170" t="s">
        <v>14</v>
      </c>
      <c r="J2170" t="s">
        <v>15</v>
      </c>
    </row>
    <row r="2171" spans="1:10">
      <c r="A2171" s="2" t="str">
        <f>"2168"</f>
        <v>2168</v>
      </c>
      <c r="B2171" s="2" t="s">
        <v>9</v>
      </c>
      <c r="C2171" s="2" t="str">
        <f>"1 (1)"</f>
        <v>1 (1)</v>
      </c>
      <c r="D2171" s="2" t="s">
        <v>7215</v>
      </c>
      <c r="E2171" s="5" t="s">
        <v>7216</v>
      </c>
      <c r="F2171" s="3" t="s">
        <v>7213</v>
      </c>
      <c r="G2171" s="3" t="s">
        <v>7214</v>
      </c>
      <c r="H2171" s="2" t="str">
        <f>"2012"</f>
        <v>2012</v>
      </c>
      <c r="I2171" t="s">
        <v>14</v>
      </c>
      <c r="J2171" t="s">
        <v>15</v>
      </c>
    </row>
    <row r="2172" spans="1:10">
      <c r="A2172" s="2" t="str">
        <f>"2169"</f>
        <v>2169</v>
      </c>
      <c r="B2172" s="2" t="s">
        <v>9</v>
      </c>
      <c r="C2172" s="2" t="str">
        <f>"1 (1)"</f>
        <v>1 (1)</v>
      </c>
      <c r="D2172" s="2" t="s">
        <v>7217</v>
      </c>
      <c r="E2172" s="5" t="s">
        <v>7218</v>
      </c>
      <c r="F2172" s="3" t="s">
        <v>7213</v>
      </c>
      <c r="G2172" s="3" t="s">
        <v>7214</v>
      </c>
      <c r="H2172" s="2" t="str">
        <f>"2012"</f>
        <v>2012</v>
      </c>
      <c r="I2172" t="s">
        <v>14</v>
      </c>
      <c r="J2172" t="s">
        <v>15</v>
      </c>
    </row>
    <row r="2173" spans="1:10">
      <c r="A2173" s="2" t="str">
        <f>"2170"</f>
        <v>2170</v>
      </c>
      <c r="B2173" s="2" t="s">
        <v>9</v>
      </c>
      <c r="C2173" s="2" t="str">
        <f>"1 (1)"</f>
        <v>1 (1)</v>
      </c>
      <c r="D2173" s="2" t="s">
        <v>7219</v>
      </c>
      <c r="E2173" s="5" t="s">
        <v>7220</v>
      </c>
      <c r="F2173" s="3" t="s">
        <v>7221</v>
      </c>
      <c r="G2173" s="3" t="s">
        <v>1530</v>
      </c>
      <c r="H2173" s="2" t="str">
        <f>"2012"</f>
        <v>2012</v>
      </c>
      <c r="I2173" t="s">
        <v>14</v>
      </c>
      <c r="J2173" t="s">
        <v>15</v>
      </c>
    </row>
    <row r="2174" spans="1:10">
      <c r="A2174" s="2" t="str">
        <f>"2171"</f>
        <v>2171</v>
      </c>
      <c r="B2174" s="2" t="s">
        <v>9</v>
      </c>
      <c r="C2174" s="2" t="str">
        <f>"1 (1)"</f>
        <v>1 (1)</v>
      </c>
      <c r="D2174" s="2" t="s">
        <v>7222</v>
      </c>
      <c r="E2174" s="5" t="s">
        <v>7223</v>
      </c>
      <c r="F2174" s="3" t="s">
        <v>7224</v>
      </c>
      <c r="G2174" s="3" t="s">
        <v>7225</v>
      </c>
      <c r="H2174" s="2" t="str">
        <f>"2012"</f>
        <v>2012</v>
      </c>
      <c r="I2174" t="s">
        <v>14</v>
      </c>
      <c r="J2174" t="s">
        <v>15</v>
      </c>
    </row>
    <row r="2175" spans="1:10">
      <c r="A2175" s="2" t="str">
        <f>"2172"</f>
        <v>2172</v>
      </c>
      <c r="B2175" s="2" t="s">
        <v>9</v>
      </c>
      <c r="C2175" s="2" t="str">
        <f>"1 (1)"</f>
        <v>1 (1)</v>
      </c>
      <c r="D2175" s="2" t="s">
        <v>7226</v>
      </c>
      <c r="E2175" s="5" t="s">
        <v>7227</v>
      </c>
      <c r="F2175" s="3" t="s">
        <v>7228</v>
      </c>
      <c r="G2175" s="3" t="s">
        <v>156</v>
      </c>
      <c r="H2175" s="2" t="str">
        <f>"2013"</f>
        <v>2013</v>
      </c>
      <c r="I2175" t="s">
        <v>14</v>
      </c>
      <c r="J2175" t="s">
        <v>15</v>
      </c>
    </row>
    <row r="2176" spans="1:10">
      <c r="A2176" s="2" t="str">
        <f>"2173"</f>
        <v>2173</v>
      </c>
      <c r="B2176" s="2" t="s">
        <v>9</v>
      </c>
      <c r="C2176" s="2" t="str">
        <f>"1 (1)"</f>
        <v>1 (1)</v>
      </c>
      <c r="D2176" s="2" t="s">
        <v>7229</v>
      </c>
      <c r="E2176" s="5" t="s">
        <v>7230</v>
      </c>
      <c r="F2176" s="3" t="s">
        <v>7231</v>
      </c>
      <c r="G2176" s="3" t="s">
        <v>1491</v>
      </c>
      <c r="H2176" s="2" t="str">
        <f>"2013"</f>
        <v>2013</v>
      </c>
      <c r="I2176" t="s">
        <v>14</v>
      </c>
      <c r="J2176" t="s">
        <v>15</v>
      </c>
    </row>
    <row r="2177" spans="1:10">
      <c r="A2177" s="2" t="str">
        <f>"2174"</f>
        <v>2174</v>
      </c>
      <c r="B2177" s="2" t="s">
        <v>9</v>
      </c>
      <c r="C2177" s="2" t="str">
        <f>"1 (1)"</f>
        <v>1 (1)</v>
      </c>
      <c r="D2177" s="2" t="s">
        <v>7232</v>
      </c>
      <c r="E2177" s="5" t="s">
        <v>7233</v>
      </c>
      <c r="F2177" s="3" t="s">
        <v>352</v>
      </c>
      <c r="G2177" s="3" t="s">
        <v>353</v>
      </c>
      <c r="H2177" s="2" t="str">
        <f>"2011"</f>
        <v>2011</v>
      </c>
      <c r="I2177" t="s">
        <v>14</v>
      </c>
      <c r="J2177" t="s">
        <v>15</v>
      </c>
    </row>
    <row r="2178" spans="1:10">
      <c r="A2178" s="2" t="str">
        <f>"2175"</f>
        <v>2175</v>
      </c>
      <c r="B2178" s="2" t="s">
        <v>9</v>
      </c>
      <c r="C2178" s="2" t="str">
        <f>"1 (1)"</f>
        <v>1 (1)</v>
      </c>
      <c r="D2178" s="2" t="s">
        <v>7234</v>
      </c>
      <c r="E2178" s="5" t="s">
        <v>7235</v>
      </c>
      <c r="F2178" s="3" t="s">
        <v>7236</v>
      </c>
      <c r="G2178" s="3" t="s">
        <v>6814</v>
      </c>
      <c r="H2178" s="2" t="str">
        <f>"2013"</f>
        <v>2013</v>
      </c>
      <c r="I2178" t="s">
        <v>14</v>
      </c>
      <c r="J2178" t="s">
        <v>15</v>
      </c>
    </row>
    <row r="2179" spans="1:10">
      <c r="A2179" s="2" t="str">
        <f>"2176"</f>
        <v>2176</v>
      </c>
      <c r="B2179" s="2" t="s">
        <v>9</v>
      </c>
      <c r="C2179" s="2" t="str">
        <f>"1 (1)"</f>
        <v>1 (1)</v>
      </c>
      <c r="D2179" s="2" t="s">
        <v>7237</v>
      </c>
      <c r="E2179" s="5" t="s">
        <v>7238</v>
      </c>
      <c r="F2179" s="3" t="s">
        <v>7239</v>
      </c>
      <c r="G2179" s="3" t="s">
        <v>1133</v>
      </c>
      <c r="H2179" s="2" t="str">
        <f>"2013"</f>
        <v>2013</v>
      </c>
      <c r="I2179" t="s">
        <v>14</v>
      </c>
      <c r="J2179" t="s">
        <v>15</v>
      </c>
    </row>
    <row r="2180" spans="1:10">
      <c r="A2180" s="2" t="str">
        <f>"2177"</f>
        <v>2177</v>
      </c>
      <c r="B2180" s="2" t="s">
        <v>9</v>
      </c>
      <c r="C2180" s="2" t="str">
        <f>"1 (1)"</f>
        <v>1 (1)</v>
      </c>
      <c r="D2180" s="2" t="s">
        <v>7240</v>
      </c>
      <c r="E2180" s="5" t="s">
        <v>7241</v>
      </c>
      <c r="F2180" s="3" t="s">
        <v>7242</v>
      </c>
      <c r="G2180" s="3" t="s">
        <v>1297</v>
      </c>
      <c r="H2180" s="2" t="str">
        <f>"2013"</f>
        <v>2013</v>
      </c>
      <c r="I2180" t="s">
        <v>14</v>
      </c>
      <c r="J2180" t="s">
        <v>15</v>
      </c>
    </row>
    <row r="2181" spans="1:10">
      <c r="A2181" s="2" t="str">
        <f>"2178"</f>
        <v>2178</v>
      </c>
      <c r="B2181" s="2" t="s">
        <v>9</v>
      </c>
      <c r="C2181" s="2" t="str">
        <f>"1 (1)"</f>
        <v>1 (1)</v>
      </c>
      <c r="D2181" s="2" t="s">
        <v>7243</v>
      </c>
      <c r="E2181" s="5" t="s">
        <v>7244</v>
      </c>
      <c r="F2181" s="3" t="s">
        <v>7245</v>
      </c>
      <c r="G2181" s="3" t="s">
        <v>5563</v>
      </c>
      <c r="H2181" s="2" t="str">
        <f>"2013"</f>
        <v>2013</v>
      </c>
      <c r="I2181" t="s">
        <v>14</v>
      </c>
      <c r="J2181" t="s">
        <v>15</v>
      </c>
    </row>
    <row r="2182" spans="1:10">
      <c r="A2182" s="2" t="str">
        <f>"2179"</f>
        <v>2179</v>
      </c>
      <c r="B2182" s="2" t="s">
        <v>9</v>
      </c>
      <c r="C2182" s="2" t="str">
        <f>"1 (1)"</f>
        <v>1 (1)</v>
      </c>
      <c r="D2182" s="2" t="s">
        <v>7246</v>
      </c>
      <c r="E2182" s="5" t="s">
        <v>7247</v>
      </c>
      <c r="F2182" s="3" t="s">
        <v>7248</v>
      </c>
      <c r="G2182" s="3" t="s">
        <v>1509</v>
      </c>
      <c r="H2182" s="2" t="str">
        <f>"2013"</f>
        <v>2013</v>
      </c>
      <c r="I2182" t="s">
        <v>14</v>
      </c>
      <c r="J2182" t="s">
        <v>15</v>
      </c>
    </row>
    <row r="2183" spans="1:10">
      <c r="A2183" s="2" t="str">
        <f>"2180"</f>
        <v>2180</v>
      </c>
      <c r="B2183" s="2" t="s">
        <v>9</v>
      </c>
      <c r="C2183" s="2" t="str">
        <f>"1 (1)"</f>
        <v>1 (1)</v>
      </c>
      <c r="D2183" s="2" t="s">
        <v>7249</v>
      </c>
      <c r="E2183" s="5" t="s">
        <v>7250</v>
      </c>
      <c r="F2183" s="3" t="s">
        <v>7251</v>
      </c>
      <c r="G2183" s="3" t="s">
        <v>3012</v>
      </c>
      <c r="H2183" s="2" t="str">
        <f>"2011"</f>
        <v>2011</v>
      </c>
      <c r="I2183" t="s">
        <v>14</v>
      </c>
      <c r="J2183" t="s">
        <v>15</v>
      </c>
    </row>
    <row r="2184" spans="1:10">
      <c r="A2184" s="2" t="str">
        <f>"2181"</f>
        <v>2181</v>
      </c>
      <c r="B2184" s="2" t="s">
        <v>9</v>
      </c>
      <c r="C2184" s="2" t="str">
        <f>"1 (1)"</f>
        <v>1 (1)</v>
      </c>
      <c r="D2184" s="2" t="s">
        <v>7252</v>
      </c>
      <c r="E2184" s="5" t="s">
        <v>7253</v>
      </c>
      <c r="F2184" s="3" t="s">
        <v>7254</v>
      </c>
      <c r="G2184" s="3" t="s">
        <v>832</v>
      </c>
      <c r="H2184" s="2" t="str">
        <f>"2013"</f>
        <v>2013</v>
      </c>
      <c r="I2184" t="s">
        <v>14</v>
      </c>
      <c r="J2184" t="s">
        <v>15</v>
      </c>
    </row>
    <row r="2185" spans="1:10">
      <c r="A2185" s="2" t="str">
        <f>"2182"</f>
        <v>2182</v>
      </c>
      <c r="B2185" s="2" t="s">
        <v>9</v>
      </c>
      <c r="C2185" s="2" t="str">
        <f>"1 (1)"</f>
        <v>1 (1)</v>
      </c>
      <c r="D2185" s="2" t="s">
        <v>7255</v>
      </c>
      <c r="E2185" s="5" t="s">
        <v>7256</v>
      </c>
      <c r="F2185" s="3" t="s">
        <v>7257</v>
      </c>
      <c r="G2185" s="3" t="s">
        <v>6792</v>
      </c>
      <c r="H2185" s="2" t="str">
        <f>"2013"</f>
        <v>2013</v>
      </c>
      <c r="I2185" t="s">
        <v>14</v>
      </c>
      <c r="J2185" t="s">
        <v>15</v>
      </c>
    </row>
    <row r="2186" spans="1:10">
      <c r="A2186" s="2" t="str">
        <f>"2183"</f>
        <v>2183</v>
      </c>
      <c r="B2186" s="2" t="s">
        <v>9</v>
      </c>
      <c r="C2186" s="2" t="str">
        <f>"1 (1)"</f>
        <v>1 (1)</v>
      </c>
      <c r="D2186" s="2" t="s">
        <v>7258</v>
      </c>
      <c r="E2186" s="5" t="s">
        <v>7259</v>
      </c>
      <c r="F2186" s="3" t="s">
        <v>7260</v>
      </c>
      <c r="G2186" s="3" t="s">
        <v>486</v>
      </c>
      <c r="H2186" s="2" t="str">
        <f>"2013"</f>
        <v>2013</v>
      </c>
      <c r="I2186" t="s">
        <v>14</v>
      </c>
      <c r="J2186" t="s">
        <v>15</v>
      </c>
    </row>
    <row r="2187" spans="1:10">
      <c r="A2187" s="2" t="str">
        <f>"2184"</f>
        <v>2184</v>
      </c>
      <c r="B2187" s="2" t="s">
        <v>9</v>
      </c>
      <c r="C2187" s="2" t="str">
        <f>"1 (1)"</f>
        <v>1 (1)</v>
      </c>
      <c r="D2187" s="2" t="s">
        <v>7261</v>
      </c>
      <c r="E2187" s="5" t="s">
        <v>7262</v>
      </c>
      <c r="F2187" s="3" t="s">
        <v>7263</v>
      </c>
      <c r="G2187" s="3" t="s">
        <v>3256</v>
      </c>
      <c r="H2187" s="2" t="str">
        <f>"2012"</f>
        <v>2012</v>
      </c>
      <c r="I2187" t="s">
        <v>14</v>
      </c>
      <c r="J2187" t="s">
        <v>15</v>
      </c>
    </row>
    <row r="2188" spans="1:10">
      <c r="A2188" s="2" t="str">
        <f>"2185"</f>
        <v>2185</v>
      </c>
      <c r="B2188" s="2" t="s">
        <v>9</v>
      </c>
      <c r="C2188" s="2" t="str">
        <f>"1 (1)"</f>
        <v>1 (1)</v>
      </c>
      <c r="D2188" s="2" t="s">
        <v>7264</v>
      </c>
      <c r="E2188" s="5" t="s">
        <v>7265</v>
      </c>
      <c r="F2188" s="3" t="s">
        <v>7266</v>
      </c>
      <c r="G2188" s="3" t="s">
        <v>156</v>
      </c>
      <c r="H2188" s="2" t="str">
        <f>"2013"</f>
        <v>2013</v>
      </c>
      <c r="I2188" t="s">
        <v>14</v>
      </c>
      <c r="J2188" t="s">
        <v>15</v>
      </c>
    </row>
    <row r="2189" spans="1:10">
      <c r="A2189" s="2" t="str">
        <f>"2186"</f>
        <v>2186</v>
      </c>
      <c r="B2189" s="2" t="s">
        <v>9</v>
      </c>
      <c r="C2189" s="2" t="str">
        <f>"1 (1)"</f>
        <v>1 (1)</v>
      </c>
      <c r="D2189" s="2" t="s">
        <v>7267</v>
      </c>
      <c r="E2189" s="5" t="s">
        <v>7268</v>
      </c>
      <c r="F2189" s="3" t="s">
        <v>7269</v>
      </c>
      <c r="G2189" s="3" t="s">
        <v>156</v>
      </c>
      <c r="H2189" s="2" t="str">
        <f>"2012"</f>
        <v>2012</v>
      </c>
      <c r="I2189" t="s">
        <v>14</v>
      </c>
      <c r="J2189" t="s">
        <v>15</v>
      </c>
    </row>
    <row r="2190" spans="1:10">
      <c r="A2190" s="2" t="str">
        <f>"2187"</f>
        <v>2187</v>
      </c>
      <c r="B2190" s="2" t="s">
        <v>9</v>
      </c>
      <c r="C2190" s="2" t="str">
        <f>"1 (1)"</f>
        <v>1 (1)</v>
      </c>
      <c r="D2190" s="2" t="s">
        <v>7270</v>
      </c>
      <c r="E2190" s="5" t="s">
        <v>7271</v>
      </c>
      <c r="F2190" s="3" t="s">
        <v>7272</v>
      </c>
      <c r="G2190" s="3" t="s">
        <v>62</v>
      </c>
      <c r="H2190" s="2" t="str">
        <f>"2012"</f>
        <v>2012</v>
      </c>
      <c r="I2190" t="s">
        <v>14</v>
      </c>
      <c r="J2190" t="s">
        <v>15</v>
      </c>
    </row>
    <row r="2191" spans="1:10">
      <c r="A2191" s="2" t="str">
        <f>"2188"</f>
        <v>2188</v>
      </c>
      <c r="B2191" s="2" t="s">
        <v>9</v>
      </c>
      <c r="C2191" s="2" t="str">
        <f>"1 (1)"</f>
        <v>1 (1)</v>
      </c>
      <c r="D2191" s="2" t="s">
        <v>7273</v>
      </c>
      <c r="E2191" s="5" t="s">
        <v>7274</v>
      </c>
      <c r="F2191" s="3" t="s">
        <v>7275</v>
      </c>
      <c r="G2191" s="3" t="s">
        <v>659</v>
      </c>
      <c r="H2191" s="2" t="str">
        <f>"2012"</f>
        <v>2012</v>
      </c>
      <c r="I2191" t="s">
        <v>14</v>
      </c>
      <c r="J2191" t="s">
        <v>15</v>
      </c>
    </row>
    <row r="2192" spans="1:10">
      <c r="A2192" s="2" t="str">
        <f>"2189"</f>
        <v>2189</v>
      </c>
      <c r="B2192" s="2" t="s">
        <v>9</v>
      </c>
      <c r="C2192" s="2" t="str">
        <f>"1 (1)"</f>
        <v>1 (1)</v>
      </c>
      <c r="D2192" s="2" t="s">
        <v>7276</v>
      </c>
      <c r="E2192" s="5" t="s">
        <v>7277</v>
      </c>
      <c r="F2192" s="3" t="s">
        <v>7278</v>
      </c>
      <c r="G2192" s="3" t="s">
        <v>1017</v>
      </c>
      <c r="H2192" s="2" t="str">
        <f>"2013"</f>
        <v>2013</v>
      </c>
      <c r="I2192" t="s">
        <v>14</v>
      </c>
      <c r="J2192" t="s">
        <v>15</v>
      </c>
    </row>
    <row r="2193" spans="1:10">
      <c r="A2193" s="2" t="str">
        <f>"2190"</f>
        <v>2190</v>
      </c>
      <c r="B2193" s="2" t="s">
        <v>9</v>
      </c>
      <c r="C2193" s="2" t="str">
        <f>"1 (1)"</f>
        <v>1 (1)</v>
      </c>
      <c r="D2193" s="2" t="s">
        <v>7279</v>
      </c>
      <c r="E2193" s="5" t="s">
        <v>7280</v>
      </c>
      <c r="F2193" s="3" t="s">
        <v>7281</v>
      </c>
      <c r="G2193" s="3" t="s">
        <v>360</v>
      </c>
      <c r="H2193" s="2" t="str">
        <f>"2013"</f>
        <v>2013</v>
      </c>
      <c r="I2193" t="s">
        <v>14</v>
      </c>
      <c r="J2193" t="s">
        <v>15</v>
      </c>
    </row>
    <row r="2194" spans="1:10">
      <c r="A2194" s="2" t="str">
        <f>"2191"</f>
        <v>2191</v>
      </c>
      <c r="B2194" s="2" t="s">
        <v>9</v>
      </c>
      <c r="C2194" s="2" t="str">
        <f>"1 (1)"</f>
        <v>1 (1)</v>
      </c>
      <c r="D2194" s="2" t="s">
        <v>7282</v>
      </c>
      <c r="E2194" s="5" t="s">
        <v>7283</v>
      </c>
      <c r="F2194" s="3" t="s">
        <v>7284</v>
      </c>
      <c r="G2194" s="3" t="s">
        <v>2666</v>
      </c>
      <c r="H2194" s="2" t="str">
        <f>"2013"</f>
        <v>2013</v>
      </c>
      <c r="I2194" t="s">
        <v>14</v>
      </c>
      <c r="J2194" t="s">
        <v>15</v>
      </c>
    </row>
    <row r="2195" spans="1:10">
      <c r="A2195" s="2" t="str">
        <f>"2192"</f>
        <v>2192</v>
      </c>
      <c r="B2195" s="2" t="s">
        <v>9</v>
      </c>
      <c r="C2195" s="2" t="str">
        <f>"1 (1)"</f>
        <v>1 (1)</v>
      </c>
      <c r="D2195" s="2" t="s">
        <v>7285</v>
      </c>
      <c r="E2195" s="5" t="s">
        <v>7286</v>
      </c>
      <c r="F2195" s="3" t="s">
        <v>7287</v>
      </c>
      <c r="G2195" s="3" t="s">
        <v>1010</v>
      </c>
      <c r="H2195" s="2" t="str">
        <f>"2013"</f>
        <v>2013</v>
      </c>
      <c r="I2195" t="s">
        <v>14</v>
      </c>
      <c r="J2195" t="s">
        <v>15</v>
      </c>
    </row>
    <row r="2196" spans="1:10">
      <c r="A2196" s="2" t="str">
        <f>"2193"</f>
        <v>2193</v>
      </c>
      <c r="B2196" s="2" t="s">
        <v>9</v>
      </c>
      <c r="C2196" s="2" t="str">
        <f>"1 (1)"</f>
        <v>1 (1)</v>
      </c>
      <c r="D2196" s="2" t="s">
        <v>7288</v>
      </c>
      <c r="E2196" s="5" t="s">
        <v>7289</v>
      </c>
      <c r="F2196" s="3" t="s">
        <v>7290</v>
      </c>
      <c r="G2196" s="3" t="s">
        <v>6701</v>
      </c>
      <c r="H2196" s="2" t="str">
        <f>"2013"</f>
        <v>2013</v>
      </c>
      <c r="I2196" t="s">
        <v>14</v>
      </c>
      <c r="J2196" t="s">
        <v>15</v>
      </c>
    </row>
    <row r="2197" spans="1:10">
      <c r="A2197" s="2" t="str">
        <f>"2194"</f>
        <v>2194</v>
      </c>
      <c r="B2197" s="2" t="s">
        <v>9</v>
      </c>
      <c r="C2197" s="2" t="str">
        <f>"1 (1)"</f>
        <v>1 (1)</v>
      </c>
      <c r="D2197" s="2" t="s">
        <v>7291</v>
      </c>
      <c r="E2197" s="5" t="s">
        <v>7292</v>
      </c>
      <c r="F2197" s="3" t="s">
        <v>7293</v>
      </c>
      <c r="G2197" s="3" t="s">
        <v>7294</v>
      </c>
      <c r="H2197" s="2" t="str">
        <f>"2013"</f>
        <v>2013</v>
      </c>
      <c r="I2197" t="s">
        <v>14</v>
      </c>
      <c r="J2197" t="s">
        <v>15</v>
      </c>
    </row>
    <row r="2198" spans="1:10">
      <c r="A2198" s="2" t="str">
        <f>"2195"</f>
        <v>2195</v>
      </c>
      <c r="B2198" s="2" t="s">
        <v>9</v>
      </c>
      <c r="C2198" s="2" t="str">
        <f>"1 (1)"</f>
        <v>1 (1)</v>
      </c>
      <c r="D2198" s="2" t="s">
        <v>7295</v>
      </c>
      <c r="E2198" s="5" t="s">
        <v>7296</v>
      </c>
      <c r="F2198" s="3" t="s">
        <v>7297</v>
      </c>
      <c r="G2198" s="3" t="s">
        <v>353</v>
      </c>
      <c r="H2198" s="2" t="str">
        <f>"2012"</f>
        <v>2012</v>
      </c>
      <c r="I2198" t="s">
        <v>14</v>
      </c>
      <c r="J2198" t="s">
        <v>15</v>
      </c>
    </row>
    <row r="2199" spans="1:10">
      <c r="A2199" s="2" t="str">
        <f>"2196"</f>
        <v>2196</v>
      </c>
      <c r="B2199" s="2" t="s">
        <v>9</v>
      </c>
      <c r="C2199" s="2" t="str">
        <f>"1 (1)"</f>
        <v>1 (1)</v>
      </c>
      <c r="D2199" s="2" t="s">
        <v>7298</v>
      </c>
      <c r="E2199" s="5" t="s">
        <v>7299</v>
      </c>
      <c r="F2199" s="3" t="s">
        <v>7300</v>
      </c>
      <c r="G2199" s="3" t="s">
        <v>1268</v>
      </c>
      <c r="H2199" s="2" t="str">
        <f>"2013"</f>
        <v>2013</v>
      </c>
      <c r="I2199" t="s">
        <v>14</v>
      </c>
      <c r="J2199" t="s">
        <v>15</v>
      </c>
    </row>
    <row r="2200" spans="1:10">
      <c r="A2200" s="2" t="str">
        <f>"2197"</f>
        <v>2197</v>
      </c>
      <c r="B2200" s="2" t="s">
        <v>9</v>
      </c>
      <c r="C2200" s="2" t="str">
        <f>"1 (1)"</f>
        <v>1 (1)</v>
      </c>
      <c r="D2200" s="2" t="s">
        <v>7301</v>
      </c>
      <c r="E2200" s="5" t="s">
        <v>7302</v>
      </c>
      <c r="F2200" s="3" t="s">
        <v>7303</v>
      </c>
      <c r="G2200" s="3" t="s">
        <v>936</v>
      </c>
      <c r="H2200" s="2" t="str">
        <f>"2012"</f>
        <v>2012</v>
      </c>
      <c r="I2200" t="s">
        <v>14</v>
      </c>
      <c r="J2200" t="s">
        <v>15</v>
      </c>
    </row>
    <row r="2201" spans="1:10">
      <c r="A2201" s="2" t="str">
        <f>"2198"</f>
        <v>2198</v>
      </c>
      <c r="B2201" s="2" t="s">
        <v>9</v>
      </c>
      <c r="C2201" s="2" t="str">
        <f>"1 (1)"</f>
        <v>1 (1)</v>
      </c>
      <c r="D2201" s="2" t="s">
        <v>7304</v>
      </c>
      <c r="E2201" s="5" t="s">
        <v>7305</v>
      </c>
      <c r="F2201" s="3" t="s">
        <v>7306</v>
      </c>
      <c r="G2201" s="3" t="s">
        <v>289</v>
      </c>
      <c r="H2201" s="2" t="str">
        <f>"2013"</f>
        <v>2013</v>
      </c>
      <c r="I2201" t="s">
        <v>14</v>
      </c>
      <c r="J2201" t="s">
        <v>15</v>
      </c>
    </row>
    <row r="2202" spans="1:10">
      <c r="A2202" s="2" t="str">
        <f>"2199"</f>
        <v>2199</v>
      </c>
      <c r="B2202" s="2" t="s">
        <v>9</v>
      </c>
      <c r="C2202" s="2" t="str">
        <f>"1 (1)"</f>
        <v>1 (1)</v>
      </c>
      <c r="D2202" s="2" t="s">
        <v>7307</v>
      </c>
      <c r="E2202" s="5" t="s">
        <v>7308</v>
      </c>
      <c r="F2202" s="3" t="s">
        <v>7309</v>
      </c>
      <c r="G2202" s="3" t="s">
        <v>1602</v>
      </c>
      <c r="H2202" s="2" t="str">
        <f>"2013"</f>
        <v>2013</v>
      </c>
      <c r="I2202" t="s">
        <v>14</v>
      </c>
      <c r="J2202" t="s">
        <v>15</v>
      </c>
    </row>
    <row r="2203" spans="1:10">
      <c r="A2203" s="2" t="str">
        <f>"2200"</f>
        <v>2200</v>
      </c>
      <c r="B2203" s="2" t="s">
        <v>9</v>
      </c>
      <c r="C2203" s="2" t="str">
        <f>"1 (1)"</f>
        <v>1 (1)</v>
      </c>
      <c r="D2203" s="2" t="s">
        <v>7310</v>
      </c>
      <c r="E2203" s="5" t="s">
        <v>7311</v>
      </c>
      <c r="F2203" s="3" t="s">
        <v>7312</v>
      </c>
      <c r="G2203" s="3" t="s">
        <v>7294</v>
      </c>
      <c r="H2203" s="2" t="str">
        <f>"2011"</f>
        <v>2011</v>
      </c>
      <c r="I2203" t="s">
        <v>14</v>
      </c>
      <c r="J2203" t="s">
        <v>15</v>
      </c>
    </row>
    <row r="2204" spans="1:10">
      <c r="A2204" s="2" t="str">
        <f>"2201"</f>
        <v>2201</v>
      </c>
      <c r="B2204" s="2" t="s">
        <v>9</v>
      </c>
      <c r="C2204" s="2" t="str">
        <f>"1 (1)"</f>
        <v>1 (1)</v>
      </c>
      <c r="D2204" s="2" t="s">
        <v>7313</v>
      </c>
      <c r="E2204" s="5" t="s">
        <v>7314</v>
      </c>
      <c r="F2204" s="3" t="s">
        <v>7315</v>
      </c>
      <c r="G2204" s="3" t="s">
        <v>2353</v>
      </c>
      <c r="H2204" s="2" t="str">
        <f>"2013"</f>
        <v>2013</v>
      </c>
      <c r="I2204" t="s">
        <v>14</v>
      </c>
      <c r="J2204" t="s">
        <v>15</v>
      </c>
    </row>
    <row r="2205" spans="1:10">
      <c r="A2205" s="2" t="str">
        <f>"2202"</f>
        <v>2202</v>
      </c>
      <c r="B2205" s="2" t="s">
        <v>9</v>
      </c>
      <c r="C2205" s="2" t="str">
        <f>"1 (1)"</f>
        <v>1 (1)</v>
      </c>
      <c r="D2205" s="2" t="s">
        <v>7316</v>
      </c>
      <c r="E2205" s="5" t="s">
        <v>7317</v>
      </c>
      <c r="F2205" s="3" t="s">
        <v>7318</v>
      </c>
      <c r="G2205" s="3" t="s">
        <v>7109</v>
      </c>
      <c r="H2205" s="2" t="str">
        <f>"2013"</f>
        <v>2013</v>
      </c>
      <c r="I2205" t="s">
        <v>14</v>
      </c>
      <c r="J2205" t="s">
        <v>15</v>
      </c>
    </row>
    <row r="2206" spans="1:10">
      <c r="A2206" s="2" t="str">
        <f>"2203"</f>
        <v>2203</v>
      </c>
      <c r="B2206" s="2" t="s">
        <v>9</v>
      </c>
      <c r="C2206" s="2" t="str">
        <f>"1 (1)"</f>
        <v>1 (1)</v>
      </c>
      <c r="D2206" s="2" t="s">
        <v>7319</v>
      </c>
      <c r="E2206" s="5" t="s">
        <v>7320</v>
      </c>
      <c r="F2206" s="3" t="s">
        <v>7321</v>
      </c>
      <c r="G2206" s="3" t="s">
        <v>384</v>
      </c>
      <c r="H2206" s="2" t="str">
        <f>"2013"</f>
        <v>2013</v>
      </c>
      <c r="I2206" t="s">
        <v>14</v>
      </c>
      <c r="J2206" t="s">
        <v>15</v>
      </c>
    </row>
    <row r="2207" spans="1:10">
      <c r="A2207" s="2" t="str">
        <f>"2204"</f>
        <v>2204</v>
      </c>
      <c r="B2207" s="2" t="s">
        <v>9</v>
      </c>
      <c r="C2207" s="2" t="str">
        <f>"1 (1)"</f>
        <v>1 (1)</v>
      </c>
      <c r="D2207" s="2" t="s">
        <v>7322</v>
      </c>
      <c r="E2207" s="5" t="s">
        <v>7323</v>
      </c>
      <c r="F2207" s="3" t="s">
        <v>7324</v>
      </c>
      <c r="G2207" s="3" t="s">
        <v>7325</v>
      </c>
      <c r="H2207" s="2" t="str">
        <f>"2012"</f>
        <v>2012</v>
      </c>
      <c r="I2207" t="s">
        <v>14</v>
      </c>
      <c r="J2207" t="s">
        <v>15</v>
      </c>
    </row>
    <row r="2208" spans="1:10">
      <c r="A2208" s="2" t="str">
        <f>"2205"</f>
        <v>2205</v>
      </c>
      <c r="B2208" s="2" t="s">
        <v>9</v>
      </c>
      <c r="C2208" s="2" t="str">
        <f>"1 (1)"</f>
        <v>1 (1)</v>
      </c>
      <c r="D2208" s="2" t="s">
        <v>7326</v>
      </c>
      <c r="E2208" s="5" t="s">
        <v>7327</v>
      </c>
      <c r="F2208" s="3" t="s">
        <v>7328</v>
      </c>
      <c r="G2208" s="3" t="s">
        <v>384</v>
      </c>
      <c r="H2208" s="2" t="str">
        <f>"2013"</f>
        <v>2013</v>
      </c>
      <c r="I2208" t="s">
        <v>14</v>
      </c>
      <c r="J2208" t="s">
        <v>15</v>
      </c>
    </row>
    <row r="2209" spans="1:10">
      <c r="A2209" s="2" t="str">
        <f>"2206"</f>
        <v>2206</v>
      </c>
      <c r="B2209" s="2" t="s">
        <v>9</v>
      </c>
      <c r="C2209" s="2" t="str">
        <f>"1 (1)"</f>
        <v>1 (1)</v>
      </c>
      <c r="D2209" s="2" t="s">
        <v>7329</v>
      </c>
      <c r="E2209" s="5" t="s">
        <v>7330</v>
      </c>
      <c r="F2209" s="3" t="s">
        <v>7331</v>
      </c>
      <c r="G2209" s="3" t="s">
        <v>156</v>
      </c>
      <c r="H2209" s="2" t="str">
        <f>"2013"</f>
        <v>2013</v>
      </c>
      <c r="I2209" t="s">
        <v>14</v>
      </c>
      <c r="J2209" t="s">
        <v>15</v>
      </c>
    </row>
    <row r="2210" spans="1:10">
      <c r="A2210" s="2" t="str">
        <f>"2207"</f>
        <v>2207</v>
      </c>
      <c r="B2210" s="2" t="s">
        <v>9</v>
      </c>
      <c r="C2210" s="2" t="str">
        <f>"1 (1)"</f>
        <v>1 (1)</v>
      </c>
      <c r="D2210" s="2" t="s">
        <v>7332</v>
      </c>
      <c r="E2210" s="5" t="s">
        <v>7333</v>
      </c>
      <c r="F2210" s="3" t="s">
        <v>7334</v>
      </c>
      <c r="G2210" s="3" t="s">
        <v>856</v>
      </c>
      <c r="H2210" s="2" t="str">
        <f>"2013"</f>
        <v>2013</v>
      </c>
      <c r="I2210" t="s">
        <v>14</v>
      </c>
      <c r="J2210" t="s">
        <v>15</v>
      </c>
    </row>
    <row r="2211" spans="1:10">
      <c r="A2211" s="2" t="str">
        <f>"2208"</f>
        <v>2208</v>
      </c>
      <c r="B2211" s="2" t="s">
        <v>9</v>
      </c>
      <c r="C2211" s="2" t="str">
        <f>"1 (1)"</f>
        <v>1 (1)</v>
      </c>
      <c r="D2211" s="2" t="s">
        <v>7335</v>
      </c>
      <c r="E2211" s="5" t="s">
        <v>7336</v>
      </c>
      <c r="F2211" s="3" t="s">
        <v>7337</v>
      </c>
      <c r="G2211" s="3" t="s">
        <v>1410</v>
      </c>
      <c r="H2211" s="2" t="str">
        <f>"2013"</f>
        <v>2013</v>
      </c>
      <c r="I2211" t="s">
        <v>14</v>
      </c>
      <c r="J2211" t="s">
        <v>15</v>
      </c>
    </row>
    <row r="2212" spans="1:10">
      <c r="A2212" s="2" t="str">
        <f>"2209"</f>
        <v>2209</v>
      </c>
      <c r="B2212" s="2" t="s">
        <v>9</v>
      </c>
      <c r="C2212" s="2" t="str">
        <f>"1 (1)"</f>
        <v>1 (1)</v>
      </c>
      <c r="D2212" s="2" t="s">
        <v>7338</v>
      </c>
      <c r="E2212" s="5" t="s">
        <v>7339</v>
      </c>
      <c r="F2212" s="3" t="s">
        <v>7340</v>
      </c>
      <c r="G2212" s="3" t="s">
        <v>832</v>
      </c>
      <c r="H2212" s="2" t="str">
        <f>"2012"</f>
        <v>2012</v>
      </c>
      <c r="I2212" t="s">
        <v>14</v>
      </c>
      <c r="J2212" t="s">
        <v>15</v>
      </c>
    </row>
    <row r="2213" spans="1:10">
      <c r="A2213" s="2" t="str">
        <f>"2210"</f>
        <v>2210</v>
      </c>
      <c r="B2213" s="2" t="s">
        <v>9</v>
      </c>
      <c r="C2213" s="2" t="str">
        <f>"1 (1)"</f>
        <v>1 (1)</v>
      </c>
      <c r="D2213" s="2" t="s">
        <v>7341</v>
      </c>
      <c r="E2213" s="5" t="s">
        <v>7342</v>
      </c>
      <c r="F2213" s="3" t="s">
        <v>7343</v>
      </c>
      <c r="G2213" s="3" t="s">
        <v>7344</v>
      </c>
      <c r="H2213" s="2" t="str">
        <f>"2013"</f>
        <v>2013</v>
      </c>
      <c r="I2213" t="s">
        <v>14</v>
      </c>
      <c r="J2213" t="s">
        <v>15</v>
      </c>
    </row>
    <row r="2214" spans="1:10">
      <c r="A2214" s="2" t="str">
        <f>"2211"</f>
        <v>2211</v>
      </c>
      <c r="B2214" s="2" t="s">
        <v>9</v>
      </c>
      <c r="C2214" s="2" t="str">
        <f>"1 (1)"</f>
        <v>1 (1)</v>
      </c>
      <c r="D2214" s="2" t="s">
        <v>7345</v>
      </c>
      <c r="E2214" s="5" t="s">
        <v>7346</v>
      </c>
      <c r="F2214" s="3" t="s">
        <v>7347</v>
      </c>
      <c r="G2214" s="3" t="s">
        <v>1221</v>
      </c>
      <c r="H2214" s="2" t="str">
        <f>"2013"</f>
        <v>2013</v>
      </c>
      <c r="I2214" t="s">
        <v>14</v>
      </c>
      <c r="J2214" t="s">
        <v>15</v>
      </c>
    </row>
    <row r="2215" spans="1:10">
      <c r="A2215" s="2" t="str">
        <f>"2212"</f>
        <v>2212</v>
      </c>
      <c r="B2215" s="2" t="s">
        <v>9</v>
      </c>
      <c r="C2215" s="2" t="str">
        <f>"1 (1)"</f>
        <v>1 (1)</v>
      </c>
      <c r="D2215" s="2" t="s">
        <v>7348</v>
      </c>
      <c r="E2215" s="5" t="s">
        <v>7349</v>
      </c>
      <c r="F2215" s="3" t="s">
        <v>7350</v>
      </c>
      <c r="G2215" s="3" t="s">
        <v>462</v>
      </c>
      <c r="H2215" s="2" t="str">
        <f>"2013"</f>
        <v>2013</v>
      </c>
      <c r="I2215" t="s">
        <v>14</v>
      </c>
      <c r="J2215" t="s">
        <v>15</v>
      </c>
    </row>
    <row r="2216" spans="1:10">
      <c r="A2216" s="2" t="str">
        <f>"2213"</f>
        <v>2213</v>
      </c>
      <c r="B2216" s="2" t="s">
        <v>9</v>
      </c>
      <c r="C2216" s="2" t="str">
        <f>"1 (1)"</f>
        <v>1 (1)</v>
      </c>
      <c r="D2216" s="2" t="s">
        <v>7351</v>
      </c>
      <c r="E2216" s="5" t="s">
        <v>7352</v>
      </c>
      <c r="F2216" s="3" t="s">
        <v>7353</v>
      </c>
      <c r="G2216" s="3" t="s">
        <v>1017</v>
      </c>
      <c r="H2216" s="2" t="str">
        <f>"2013"</f>
        <v>2013</v>
      </c>
      <c r="I2216" t="s">
        <v>14</v>
      </c>
      <c r="J2216" t="s">
        <v>15</v>
      </c>
    </row>
    <row r="2217" spans="1:10">
      <c r="A2217" s="2" t="str">
        <f>"2214"</f>
        <v>2214</v>
      </c>
      <c r="B2217" s="2" t="s">
        <v>9</v>
      </c>
      <c r="C2217" s="2" t="str">
        <f>"1 (1)"</f>
        <v>1 (1)</v>
      </c>
      <c r="D2217" s="2" t="s">
        <v>7354</v>
      </c>
      <c r="E2217" s="5" t="s">
        <v>7355</v>
      </c>
      <c r="F2217" s="3" t="s">
        <v>7356</v>
      </c>
      <c r="G2217" s="3" t="s">
        <v>1061</v>
      </c>
      <c r="H2217" s="2" t="str">
        <f>"2013"</f>
        <v>2013</v>
      </c>
      <c r="I2217" t="s">
        <v>14</v>
      </c>
      <c r="J2217" t="s">
        <v>15</v>
      </c>
    </row>
    <row r="2218" spans="1:10">
      <c r="A2218" s="2" t="str">
        <f>"2215"</f>
        <v>2215</v>
      </c>
      <c r="B2218" s="2" t="s">
        <v>9</v>
      </c>
      <c r="C2218" s="2" t="str">
        <f>"1 (1)"</f>
        <v>1 (1)</v>
      </c>
      <c r="D2218" s="2" t="s">
        <v>7357</v>
      </c>
      <c r="E2218" s="5" t="s">
        <v>7358</v>
      </c>
      <c r="F2218" s="3" t="s">
        <v>7359</v>
      </c>
      <c r="G2218" s="3" t="s">
        <v>360</v>
      </c>
      <c r="H2218" s="2" t="str">
        <f>"2013"</f>
        <v>2013</v>
      </c>
      <c r="I2218" t="s">
        <v>14</v>
      </c>
      <c r="J2218" t="s">
        <v>15</v>
      </c>
    </row>
    <row r="2219" spans="1:10">
      <c r="A2219" s="2" t="str">
        <f>"2216"</f>
        <v>2216</v>
      </c>
      <c r="B2219" s="2" t="s">
        <v>9</v>
      </c>
      <c r="C2219" s="2" t="str">
        <f>"1 (1)"</f>
        <v>1 (1)</v>
      </c>
      <c r="D2219" s="2" t="s">
        <v>7360</v>
      </c>
      <c r="E2219" s="5" t="s">
        <v>7361</v>
      </c>
      <c r="F2219" s="3" t="s">
        <v>7362</v>
      </c>
      <c r="G2219" s="3" t="s">
        <v>7363</v>
      </c>
      <c r="H2219" s="2" t="str">
        <f>"2013"</f>
        <v>2013</v>
      </c>
      <c r="I2219" t="s">
        <v>14</v>
      </c>
      <c r="J2219" t="s">
        <v>15</v>
      </c>
    </row>
    <row r="2220" spans="1:10">
      <c r="A2220" s="2" t="str">
        <f>"2217"</f>
        <v>2217</v>
      </c>
      <c r="B2220" s="2" t="s">
        <v>9</v>
      </c>
      <c r="C2220" s="2" t="str">
        <f>"1 (1)"</f>
        <v>1 (1)</v>
      </c>
      <c r="D2220" s="2" t="s">
        <v>7364</v>
      </c>
      <c r="E2220" s="5" t="s">
        <v>7365</v>
      </c>
      <c r="F2220" s="3" t="s">
        <v>7366</v>
      </c>
      <c r="G2220" s="3" t="s">
        <v>426</v>
      </c>
      <c r="H2220" s="2" t="str">
        <f>"2011"</f>
        <v>2011</v>
      </c>
      <c r="I2220" t="s">
        <v>14</v>
      </c>
      <c r="J2220" t="s">
        <v>15</v>
      </c>
    </row>
    <row r="2221" spans="1:10">
      <c r="A2221" s="2" t="str">
        <f>"2218"</f>
        <v>2218</v>
      </c>
      <c r="B2221" s="2" t="s">
        <v>9</v>
      </c>
      <c r="C2221" s="2" t="str">
        <f>"1 (1)"</f>
        <v>1 (1)</v>
      </c>
      <c r="D2221" s="2" t="s">
        <v>7367</v>
      </c>
      <c r="E2221" s="5" t="s">
        <v>7368</v>
      </c>
      <c r="F2221" s="3" t="s">
        <v>7369</v>
      </c>
      <c r="G2221" s="3" t="s">
        <v>345</v>
      </c>
      <c r="H2221" s="2" t="str">
        <f>"2011"</f>
        <v>2011</v>
      </c>
      <c r="I2221" t="s">
        <v>14</v>
      </c>
      <c r="J2221" t="s">
        <v>15</v>
      </c>
    </row>
    <row r="2222" spans="1:10">
      <c r="A2222" s="2" t="str">
        <f>"2219"</f>
        <v>2219</v>
      </c>
      <c r="B2222" s="2" t="s">
        <v>9</v>
      </c>
      <c r="C2222" s="2" t="str">
        <f>"1 (1)"</f>
        <v>1 (1)</v>
      </c>
      <c r="D2222" s="2" t="s">
        <v>7370</v>
      </c>
      <c r="E2222" s="5" t="s">
        <v>7371</v>
      </c>
      <c r="F2222" s="3" t="s">
        <v>7372</v>
      </c>
      <c r="G2222" s="3" t="s">
        <v>4222</v>
      </c>
      <c r="H2222" s="2" t="str">
        <f>"2013"</f>
        <v>2013</v>
      </c>
      <c r="I2222" t="s">
        <v>14</v>
      </c>
      <c r="J2222" t="s">
        <v>15</v>
      </c>
    </row>
    <row r="2223" spans="1:10">
      <c r="A2223" s="2" t="str">
        <f>"2220"</f>
        <v>2220</v>
      </c>
      <c r="B2223" s="2" t="s">
        <v>9</v>
      </c>
      <c r="C2223" s="2" t="str">
        <f>"1 (1)"</f>
        <v>1 (1)</v>
      </c>
      <c r="D2223" s="2" t="s">
        <v>7373</v>
      </c>
      <c r="E2223" s="5" t="s">
        <v>7374</v>
      </c>
      <c r="F2223" s="3" t="s">
        <v>7375</v>
      </c>
      <c r="G2223" s="3" t="s">
        <v>1268</v>
      </c>
      <c r="H2223" s="2" t="str">
        <f>"2013"</f>
        <v>2013</v>
      </c>
      <c r="I2223" t="s">
        <v>14</v>
      </c>
      <c r="J2223" t="s">
        <v>15</v>
      </c>
    </row>
    <row r="2224" spans="1:10">
      <c r="A2224" s="2" t="str">
        <f>"2221"</f>
        <v>2221</v>
      </c>
      <c r="B2224" s="2" t="s">
        <v>9</v>
      </c>
      <c r="C2224" s="2" t="str">
        <f>"1 (1)"</f>
        <v>1 (1)</v>
      </c>
      <c r="D2224" s="2" t="s">
        <v>7376</v>
      </c>
      <c r="E2224" s="5" t="s">
        <v>7377</v>
      </c>
      <c r="F2224" s="3" t="s">
        <v>7378</v>
      </c>
      <c r="G2224" s="3" t="s">
        <v>7379</v>
      </c>
      <c r="H2224" s="2" t="str">
        <f>"2013"</f>
        <v>2013</v>
      </c>
      <c r="I2224" t="s">
        <v>14</v>
      </c>
      <c r="J2224" t="s">
        <v>15</v>
      </c>
    </row>
    <row r="2225" spans="1:10">
      <c r="A2225" s="2" t="str">
        <f>"2222"</f>
        <v>2222</v>
      </c>
      <c r="B2225" s="2" t="s">
        <v>9</v>
      </c>
      <c r="C2225" s="2" t="str">
        <f>"1 (1)"</f>
        <v>1 (1)</v>
      </c>
      <c r="D2225" s="2" t="s">
        <v>7380</v>
      </c>
      <c r="E2225" s="5" t="s">
        <v>7381</v>
      </c>
      <c r="F2225" s="3" t="s">
        <v>7382</v>
      </c>
      <c r="G2225" s="3" t="s">
        <v>1491</v>
      </c>
      <c r="H2225" s="2" t="str">
        <f>"2013"</f>
        <v>2013</v>
      </c>
      <c r="I2225" t="s">
        <v>14</v>
      </c>
      <c r="J2225" t="s">
        <v>15</v>
      </c>
    </row>
    <row r="2226" spans="1:10">
      <c r="A2226" s="2" t="str">
        <f>"2223"</f>
        <v>2223</v>
      </c>
      <c r="B2226" s="2" t="s">
        <v>9</v>
      </c>
      <c r="C2226" s="2" t="str">
        <f>"1 (1)"</f>
        <v>1 (1)</v>
      </c>
      <c r="D2226" s="2" t="s">
        <v>7383</v>
      </c>
      <c r="E2226" s="5" t="s">
        <v>7384</v>
      </c>
      <c r="F2226" s="3" t="s">
        <v>7385</v>
      </c>
      <c r="G2226" s="3" t="s">
        <v>7386</v>
      </c>
      <c r="H2226" s="2" t="str">
        <f>"2012"</f>
        <v>2012</v>
      </c>
      <c r="I2226" t="s">
        <v>14</v>
      </c>
      <c r="J2226" t="s">
        <v>15</v>
      </c>
    </row>
    <row r="2227" spans="1:10">
      <c r="A2227" s="2" t="str">
        <f>"2224"</f>
        <v>2224</v>
      </c>
      <c r="B2227" s="2" t="s">
        <v>9</v>
      </c>
      <c r="C2227" s="2" t="str">
        <f>"1 (1)"</f>
        <v>1 (1)</v>
      </c>
      <c r="D2227" s="2" t="s">
        <v>7387</v>
      </c>
      <c r="E2227" s="5" t="s">
        <v>7388</v>
      </c>
      <c r="F2227" s="3" t="s">
        <v>7389</v>
      </c>
      <c r="G2227" s="3" t="s">
        <v>7390</v>
      </c>
      <c r="H2227" s="2" t="str">
        <f>"2012"</f>
        <v>2012</v>
      </c>
      <c r="I2227" t="s">
        <v>14</v>
      </c>
      <c r="J2227" t="s">
        <v>15</v>
      </c>
    </row>
    <row r="2228" spans="1:10">
      <c r="A2228" s="2" t="str">
        <f>"2225"</f>
        <v>2225</v>
      </c>
      <c r="B2228" s="2" t="s">
        <v>9</v>
      </c>
      <c r="C2228" s="2" t="str">
        <f>"1 (1)"</f>
        <v>1 (1)</v>
      </c>
      <c r="D2228" s="2" t="s">
        <v>7391</v>
      </c>
      <c r="E2228" s="5" t="s">
        <v>7392</v>
      </c>
      <c r="F2228" s="3" t="s">
        <v>7393</v>
      </c>
      <c r="G2228" s="3" t="s">
        <v>991</v>
      </c>
      <c r="H2228" s="2" t="str">
        <f>"2011"</f>
        <v>2011</v>
      </c>
      <c r="I2228" t="s">
        <v>14</v>
      </c>
      <c r="J2228" t="s">
        <v>15</v>
      </c>
    </row>
    <row r="2229" spans="1:10">
      <c r="A2229" s="2" t="str">
        <f>"2226"</f>
        <v>2226</v>
      </c>
      <c r="B2229" s="2" t="s">
        <v>9</v>
      </c>
      <c r="C2229" s="2" t="str">
        <f>"1 (1)"</f>
        <v>1 (1)</v>
      </c>
      <c r="D2229" s="2" t="s">
        <v>7394</v>
      </c>
      <c r="E2229" s="5" t="s">
        <v>7395</v>
      </c>
      <c r="F2229" s="3" t="s">
        <v>7396</v>
      </c>
      <c r="G2229" s="3" t="s">
        <v>6701</v>
      </c>
      <c r="H2229" s="2" t="str">
        <f>"2011"</f>
        <v>2011</v>
      </c>
      <c r="I2229" t="s">
        <v>14</v>
      </c>
      <c r="J2229" t="s">
        <v>15</v>
      </c>
    </row>
    <row r="2230" spans="1:10">
      <c r="A2230" s="2" t="str">
        <f>"2227"</f>
        <v>2227</v>
      </c>
      <c r="B2230" s="2" t="s">
        <v>9</v>
      </c>
      <c r="C2230" s="2" t="str">
        <f>"1 (1)"</f>
        <v>1 (1)</v>
      </c>
      <c r="D2230" s="2" t="s">
        <v>7397</v>
      </c>
      <c r="E2230" s="5" t="s">
        <v>7398</v>
      </c>
      <c r="F2230" s="3" t="s">
        <v>7399</v>
      </c>
      <c r="G2230" s="3" t="s">
        <v>3567</v>
      </c>
      <c r="H2230" s="2" t="str">
        <f>"2013"</f>
        <v>2013</v>
      </c>
      <c r="I2230" t="s">
        <v>14</v>
      </c>
      <c r="J2230" t="s">
        <v>15</v>
      </c>
    </row>
    <row r="2231" spans="1:10">
      <c r="A2231" s="2" t="str">
        <f>"2228"</f>
        <v>2228</v>
      </c>
      <c r="B2231" s="2" t="s">
        <v>9</v>
      </c>
      <c r="C2231" s="2" t="str">
        <f>"1 (1)"</f>
        <v>1 (1)</v>
      </c>
      <c r="D2231" s="2" t="s">
        <v>7400</v>
      </c>
      <c r="E2231" s="5" t="s">
        <v>7401</v>
      </c>
      <c r="F2231" s="3" t="s">
        <v>7402</v>
      </c>
      <c r="G2231" s="3" t="s">
        <v>7403</v>
      </c>
      <c r="H2231" s="2" t="str">
        <f>"2013"</f>
        <v>2013</v>
      </c>
      <c r="I2231" t="s">
        <v>14</v>
      </c>
      <c r="J2231" t="s">
        <v>15</v>
      </c>
    </row>
    <row r="2232" spans="1:10">
      <c r="A2232" s="2" t="str">
        <f>"2229"</f>
        <v>2229</v>
      </c>
      <c r="B2232" s="2" t="s">
        <v>9</v>
      </c>
      <c r="C2232" s="2" t="str">
        <f>"1 (1)"</f>
        <v>1 (1)</v>
      </c>
      <c r="D2232" s="2" t="s">
        <v>7404</v>
      </c>
      <c r="E2232" s="5" t="s">
        <v>7405</v>
      </c>
      <c r="F2232" s="3" t="s">
        <v>7406</v>
      </c>
      <c r="G2232" s="3" t="s">
        <v>7390</v>
      </c>
      <c r="H2232" s="2" t="str">
        <f>"2013"</f>
        <v>2013</v>
      </c>
      <c r="I2232" t="s">
        <v>14</v>
      </c>
      <c r="J2232" t="s">
        <v>15</v>
      </c>
    </row>
    <row r="2233" spans="1:10">
      <c r="A2233" s="2" t="str">
        <f>"2230"</f>
        <v>2230</v>
      </c>
      <c r="B2233" s="2" t="s">
        <v>9</v>
      </c>
      <c r="C2233" s="2" t="str">
        <f>"1 (1)"</f>
        <v>1 (1)</v>
      </c>
      <c r="D2233" s="2" t="s">
        <v>7407</v>
      </c>
      <c r="E2233" s="5" t="s">
        <v>7408</v>
      </c>
      <c r="F2233" s="3" t="s">
        <v>7409</v>
      </c>
      <c r="G2233" s="3" t="s">
        <v>156</v>
      </c>
      <c r="H2233" s="2" t="str">
        <f>"2013"</f>
        <v>2013</v>
      </c>
      <c r="I2233" t="s">
        <v>14</v>
      </c>
      <c r="J2233" t="s">
        <v>15</v>
      </c>
    </row>
    <row r="2234" spans="1:10">
      <c r="A2234" s="2" t="str">
        <f>"2231"</f>
        <v>2231</v>
      </c>
      <c r="B2234" s="2" t="s">
        <v>9</v>
      </c>
      <c r="C2234" s="2" t="str">
        <f>"1 (1)"</f>
        <v>1 (1)</v>
      </c>
      <c r="D2234" s="2" t="s">
        <v>7410</v>
      </c>
      <c r="E2234" s="5" t="s">
        <v>7411</v>
      </c>
      <c r="F2234" s="3" t="s">
        <v>7412</v>
      </c>
      <c r="G2234" s="3" t="s">
        <v>7413</v>
      </c>
      <c r="H2234" s="2" t="str">
        <f>"2013"</f>
        <v>2013</v>
      </c>
      <c r="I2234" t="s">
        <v>14</v>
      </c>
      <c r="J2234" t="s">
        <v>15</v>
      </c>
    </row>
    <row r="2235" spans="1:10">
      <c r="A2235" s="2" t="str">
        <f>"2232"</f>
        <v>2232</v>
      </c>
      <c r="B2235" s="2" t="s">
        <v>9</v>
      </c>
      <c r="C2235" s="2" t="str">
        <f>"1 (1)"</f>
        <v>1 (1)</v>
      </c>
      <c r="D2235" s="2" t="s">
        <v>7414</v>
      </c>
      <c r="E2235" s="5" t="s">
        <v>7415</v>
      </c>
      <c r="F2235" s="3" t="s">
        <v>7416</v>
      </c>
      <c r="G2235" s="3" t="s">
        <v>4825</v>
      </c>
      <c r="H2235" s="2" t="str">
        <f>"2012"</f>
        <v>2012</v>
      </c>
      <c r="I2235" t="s">
        <v>14</v>
      </c>
      <c r="J2235" t="s">
        <v>15</v>
      </c>
    </row>
    <row r="2236" spans="1:10">
      <c r="A2236" s="2" t="str">
        <f>"2233"</f>
        <v>2233</v>
      </c>
      <c r="B2236" s="2" t="s">
        <v>9</v>
      </c>
      <c r="C2236" s="2" t="str">
        <f>"1 (1)"</f>
        <v>1 (1)</v>
      </c>
      <c r="D2236" s="2" t="s">
        <v>7417</v>
      </c>
      <c r="E2236" s="5" t="s">
        <v>7418</v>
      </c>
      <c r="F2236" s="3" t="s">
        <v>7419</v>
      </c>
      <c r="G2236" s="3" t="s">
        <v>7420</v>
      </c>
      <c r="H2236" s="2" t="str">
        <f>"2012"</f>
        <v>2012</v>
      </c>
      <c r="I2236" t="s">
        <v>14</v>
      </c>
      <c r="J2236" t="s">
        <v>15</v>
      </c>
    </row>
    <row r="2237" spans="1:10">
      <c r="A2237" s="2" t="str">
        <f>"2234"</f>
        <v>2234</v>
      </c>
      <c r="B2237" s="2" t="s">
        <v>9</v>
      </c>
      <c r="C2237" s="2" t="str">
        <f>"1 (1)"</f>
        <v>1 (1)</v>
      </c>
      <c r="D2237" s="2" t="s">
        <v>7421</v>
      </c>
      <c r="E2237" s="5" t="s">
        <v>7422</v>
      </c>
      <c r="F2237" s="3" t="s">
        <v>7423</v>
      </c>
      <c r="G2237" s="3" t="s">
        <v>156</v>
      </c>
      <c r="H2237" s="2" t="str">
        <f>"2012"</f>
        <v>2012</v>
      </c>
      <c r="I2237" t="s">
        <v>14</v>
      </c>
      <c r="J2237" t="s">
        <v>15</v>
      </c>
    </row>
    <row r="2238" spans="1:10">
      <c r="A2238" s="2" t="str">
        <f>"2235"</f>
        <v>2235</v>
      </c>
      <c r="B2238" s="2" t="s">
        <v>9</v>
      </c>
      <c r="C2238" s="2" t="str">
        <f>"1 (1)"</f>
        <v>1 (1)</v>
      </c>
      <c r="D2238" s="2" t="s">
        <v>7424</v>
      </c>
      <c r="E2238" s="5" t="s">
        <v>7425</v>
      </c>
      <c r="F2238" s="3" t="s">
        <v>7426</v>
      </c>
      <c r="G2238" s="3" t="s">
        <v>936</v>
      </c>
      <c r="H2238" s="2" t="str">
        <f>"2012"</f>
        <v>2012</v>
      </c>
      <c r="I2238" t="s">
        <v>14</v>
      </c>
      <c r="J2238" t="s">
        <v>15</v>
      </c>
    </row>
    <row r="2239" spans="1:10">
      <c r="A2239" s="2" t="str">
        <f>"2236"</f>
        <v>2236</v>
      </c>
      <c r="B2239" s="2" t="s">
        <v>9</v>
      </c>
      <c r="C2239" s="2" t="str">
        <f>"1 (1)"</f>
        <v>1 (1)</v>
      </c>
      <c r="D2239" s="2" t="s">
        <v>7427</v>
      </c>
      <c r="E2239" s="5" t="s">
        <v>7428</v>
      </c>
      <c r="F2239" s="3" t="s">
        <v>7429</v>
      </c>
      <c r="G2239" s="3" t="s">
        <v>7390</v>
      </c>
      <c r="H2239" s="2" t="str">
        <f>"2013"</f>
        <v>2013</v>
      </c>
      <c r="I2239" t="s">
        <v>14</v>
      </c>
      <c r="J2239" t="s">
        <v>15</v>
      </c>
    </row>
    <row r="2240" spans="1:10">
      <c r="A2240" s="2" t="str">
        <f>"2237"</f>
        <v>2237</v>
      </c>
      <c r="B2240" s="2" t="s">
        <v>9</v>
      </c>
      <c r="C2240" s="2" t="str">
        <f>"1 (1)"</f>
        <v>1 (1)</v>
      </c>
      <c r="D2240" s="2" t="s">
        <v>7430</v>
      </c>
      <c r="E2240" s="5" t="s">
        <v>7431</v>
      </c>
      <c r="F2240" s="3" t="s">
        <v>7432</v>
      </c>
      <c r="G2240" s="3" t="s">
        <v>6592</v>
      </c>
      <c r="H2240" s="2" t="str">
        <f>"2012"</f>
        <v>2012</v>
      </c>
      <c r="I2240" t="s">
        <v>14</v>
      </c>
      <c r="J2240" t="s">
        <v>15</v>
      </c>
    </row>
    <row r="2241" spans="1:10">
      <c r="A2241" s="2" t="str">
        <f>"2238"</f>
        <v>2238</v>
      </c>
      <c r="B2241" s="2" t="s">
        <v>9</v>
      </c>
      <c r="C2241" s="2" t="str">
        <f>"1 (1)"</f>
        <v>1 (1)</v>
      </c>
      <c r="D2241" s="2" t="s">
        <v>7433</v>
      </c>
      <c r="E2241" s="5" t="s">
        <v>7434</v>
      </c>
      <c r="F2241" s="3" t="s">
        <v>7435</v>
      </c>
      <c r="G2241" s="3" t="s">
        <v>360</v>
      </c>
      <c r="H2241" s="2" t="str">
        <f>"2013"</f>
        <v>2013</v>
      </c>
      <c r="I2241" t="s">
        <v>14</v>
      </c>
      <c r="J2241" t="s">
        <v>15</v>
      </c>
    </row>
    <row r="2242" spans="1:10">
      <c r="A2242" s="2" t="str">
        <f>"2239"</f>
        <v>2239</v>
      </c>
      <c r="B2242" s="2" t="s">
        <v>9</v>
      </c>
      <c r="C2242" s="2" t="str">
        <f>"1 (1)"</f>
        <v>1 (1)</v>
      </c>
      <c r="D2242" s="2" t="s">
        <v>7436</v>
      </c>
      <c r="E2242" s="5" t="s">
        <v>7437</v>
      </c>
      <c r="F2242" s="3" t="s">
        <v>7438</v>
      </c>
      <c r="G2242" s="3" t="s">
        <v>156</v>
      </c>
      <c r="H2242" s="2" t="str">
        <f>"2013"</f>
        <v>2013</v>
      </c>
      <c r="I2242" t="s">
        <v>14</v>
      </c>
      <c r="J2242" t="s">
        <v>15</v>
      </c>
    </row>
    <row r="2243" spans="1:10">
      <c r="A2243" s="2" t="str">
        <f>"2240"</f>
        <v>2240</v>
      </c>
      <c r="B2243" s="2" t="s">
        <v>9</v>
      </c>
      <c r="C2243" s="2" t="str">
        <f>"1 (1)"</f>
        <v>1 (1)</v>
      </c>
      <c r="D2243" s="2" t="s">
        <v>7439</v>
      </c>
      <c r="E2243" s="5" t="s">
        <v>7440</v>
      </c>
      <c r="F2243" s="3" t="s">
        <v>7441</v>
      </c>
      <c r="G2243" s="3" t="s">
        <v>6875</v>
      </c>
      <c r="H2243" s="2" t="str">
        <f>"2013"</f>
        <v>2013</v>
      </c>
      <c r="I2243" t="s">
        <v>14</v>
      </c>
      <c r="J2243" t="s">
        <v>15</v>
      </c>
    </row>
    <row r="2244" spans="1:10">
      <c r="A2244" s="2" t="str">
        <f>"2241"</f>
        <v>2241</v>
      </c>
      <c r="B2244" s="2" t="s">
        <v>9</v>
      </c>
      <c r="C2244" s="2" t="str">
        <f>"1 (1)"</f>
        <v>1 (1)</v>
      </c>
      <c r="D2244" s="2" t="s">
        <v>7442</v>
      </c>
      <c r="E2244" s="5" t="s">
        <v>7443</v>
      </c>
      <c r="F2244" s="3" t="s">
        <v>7444</v>
      </c>
      <c r="G2244" s="3" t="s">
        <v>3256</v>
      </c>
      <c r="H2244" s="2" t="str">
        <f>"2012"</f>
        <v>2012</v>
      </c>
      <c r="I2244" t="s">
        <v>14</v>
      </c>
      <c r="J2244" t="s">
        <v>15</v>
      </c>
    </row>
    <row r="2245" spans="1:10">
      <c r="A2245" s="2" t="str">
        <f>"2242"</f>
        <v>2242</v>
      </c>
      <c r="B2245" s="2" t="s">
        <v>9</v>
      </c>
      <c r="C2245" s="2" t="str">
        <f>"1 (1)"</f>
        <v>1 (1)</v>
      </c>
      <c r="D2245" s="2" t="s">
        <v>7445</v>
      </c>
      <c r="E2245" s="5" t="s">
        <v>7446</v>
      </c>
      <c r="F2245" s="3" t="s">
        <v>7447</v>
      </c>
      <c r="G2245" s="3" t="s">
        <v>1268</v>
      </c>
      <c r="H2245" s="2" t="str">
        <f>"2013"</f>
        <v>2013</v>
      </c>
      <c r="I2245" t="s">
        <v>14</v>
      </c>
      <c r="J2245" t="s">
        <v>15</v>
      </c>
    </row>
    <row r="2246" spans="1:10">
      <c r="A2246" s="2" t="str">
        <f>"2243"</f>
        <v>2243</v>
      </c>
      <c r="B2246" s="2" t="s">
        <v>9</v>
      </c>
      <c r="C2246" s="2" t="str">
        <f>"1 (1)"</f>
        <v>1 (1)</v>
      </c>
      <c r="D2246" s="2" t="s">
        <v>7448</v>
      </c>
      <c r="E2246" s="5" t="s">
        <v>7449</v>
      </c>
      <c r="F2246" s="3" t="s">
        <v>7450</v>
      </c>
      <c r="G2246" s="3" t="s">
        <v>7451</v>
      </c>
      <c r="H2246" s="2" t="str">
        <f>"2013"</f>
        <v>2013</v>
      </c>
      <c r="I2246" t="s">
        <v>14</v>
      </c>
      <c r="J2246" t="s">
        <v>15</v>
      </c>
    </row>
    <row r="2247" spans="1:10">
      <c r="A2247" s="2" t="str">
        <f>"2244"</f>
        <v>2244</v>
      </c>
      <c r="B2247" s="2" t="s">
        <v>9</v>
      </c>
      <c r="C2247" s="2" t="str">
        <f>"1 (1)"</f>
        <v>1 (1)</v>
      </c>
      <c r="D2247" s="2" t="s">
        <v>7452</v>
      </c>
      <c r="E2247" s="5" t="s">
        <v>6497</v>
      </c>
      <c r="F2247" s="3" t="s">
        <v>6498</v>
      </c>
      <c r="G2247" s="3" t="s">
        <v>509</v>
      </c>
      <c r="H2247" s="2" t="str">
        <f>"2013"</f>
        <v>2013</v>
      </c>
      <c r="I2247" t="s">
        <v>14</v>
      </c>
      <c r="J2247" t="s">
        <v>15</v>
      </c>
    </row>
    <row r="2248" spans="1:10">
      <c r="A2248" s="2" t="str">
        <f>"2245"</f>
        <v>2245</v>
      </c>
      <c r="B2248" s="2" t="s">
        <v>9</v>
      </c>
      <c r="C2248" s="2" t="str">
        <f>"1 (1)"</f>
        <v>1 (1)</v>
      </c>
      <c r="D2248" s="2" t="s">
        <v>7453</v>
      </c>
      <c r="E2248" s="5" t="s">
        <v>7454</v>
      </c>
      <c r="F2248" s="3" t="s">
        <v>7455</v>
      </c>
      <c r="G2248" s="3" t="s">
        <v>360</v>
      </c>
      <c r="H2248" s="2" t="str">
        <f>"2013"</f>
        <v>2013</v>
      </c>
      <c r="I2248" t="s">
        <v>14</v>
      </c>
      <c r="J2248" t="s">
        <v>15</v>
      </c>
    </row>
    <row r="2249" spans="1:10">
      <c r="A2249" s="2" t="str">
        <f>"2246"</f>
        <v>2246</v>
      </c>
      <c r="B2249" s="2" t="s">
        <v>9</v>
      </c>
      <c r="C2249" s="2" t="str">
        <f>"1 (1)"</f>
        <v>1 (1)</v>
      </c>
      <c r="D2249" s="2" t="s">
        <v>7456</v>
      </c>
      <c r="E2249" s="5" t="s">
        <v>7457</v>
      </c>
      <c r="F2249" s="3" t="s">
        <v>7458</v>
      </c>
      <c r="G2249" s="3" t="s">
        <v>156</v>
      </c>
      <c r="H2249" s="2" t="str">
        <f>"2013"</f>
        <v>2013</v>
      </c>
      <c r="I2249" t="s">
        <v>14</v>
      </c>
      <c r="J2249" t="s">
        <v>15</v>
      </c>
    </row>
    <row r="2250" spans="1:10">
      <c r="A2250" s="2" t="str">
        <f>"2247"</f>
        <v>2247</v>
      </c>
      <c r="B2250" s="2" t="s">
        <v>9</v>
      </c>
      <c r="C2250" s="2" t="str">
        <f>"1 (1)"</f>
        <v>1 (1)</v>
      </c>
      <c r="D2250" s="2" t="s">
        <v>7459</v>
      </c>
      <c r="E2250" s="5" t="s">
        <v>7460</v>
      </c>
      <c r="F2250" s="3" t="s">
        <v>7461</v>
      </c>
      <c r="G2250" s="3" t="s">
        <v>253</v>
      </c>
      <c r="H2250" s="2" t="str">
        <f>"2013"</f>
        <v>2013</v>
      </c>
      <c r="I2250" t="s">
        <v>14</v>
      </c>
      <c r="J2250" t="s">
        <v>15</v>
      </c>
    </row>
    <row r="2251" spans="1:10">
      <c r="A2251" s="2" t="str">
        <f>"2248"</f>
        <v>2248</v>
      </c>
      <c r="B2251" s="2" t="s">
        <v>9</v>
      </c>
      <c r="C2251" s="2" t="str">
        <f>"1 (1)"</f>
        <v>1 (1)</v>
      </c>
      <c r="D2251" s="2" t="s">
        <v>7462</v>
      </c>
      <c r="E2251" s="5" t="s">
        <v>7463</v>
      </c>
      <c r="F2251" s="3" t="s">
        <v>7464</v>
      </c>
      <c r="G2251" s="3" t="s">
        <v>7403</v>
      </c>
      <c r="H2251" s="2" t="str">
        <f>"2012"</f>
        <v>2012</v>
      </c>
      <c r="I2251" t="s">
        <v>14</v>
      </c>
      <c r="J2251" t="s">
        <v>15</v>
      </c>
    </row>
    <row r="2252" spans="1:10">
      <c r="A2252" s="2" t="str">
        <f>"2249"</f>
        <v>2249</v>
      </c>
      <c r="B2252" s="2" t="s">
        <v>9</v>
      </c>
      <c r="C2252" s="2" t="str">
        <f>"1 (1)"</f>
        <v>1 (1)</v>
      </c>
      <c r="D2252" s="2" t="s">
        <v>7465</v>
      </c>
      <c r="E2252" s="5" t="s">
        <v>7466</v>
      </c>
      <c r="F2252" s="3" t="s">
        <v>7467</v>
      </c>
      <c r="G2252" s="3" t="s">
        <v>6701</v>
      </c>
      <c r="H2252" s="2" t="str">
        <f>"2013"</f>
        <v>2013</v>
      </c>
      <c r="I2252" t="s">
        <v>14</v>
      </c>
      <c r="J2252" t="s">
        <v>15</v>
      </c>
    </row>
    <row r="2253" spans="1:10">
      <c r="A2253" s="2" t="str">
        <f>"2250"</f>
        <v>2250</v>
      </c>
      <c r="B2253" s="2" t="s">
        <v>9</v>
      </c>
      <c r="C2253" s="2" t="str">
        <f>"1 (1)"</f>
        <v>1 (1)</v>
      </c>
      <c r="D2253" s="2" t="s">
        <v>7468</v>
      </c>
      <c r="E2253" s="5" t="s">
        <v>7469</v>
      </c>
      <c r="F2253" s="3" t="s">
        <v>7470</v>
      </c>
      <c r="G2253" s="3" t="s">
        <v>1282</v>
      </c>
      <c r="H2253" s="2" t="str">
        <f>"2013"</f>
        <v>2013</v>
      </c>
      <c r="I2253" t="s">
        <v>14</v>
      </c>
      <c r="J2253" t="s">
        <v>15</v>
      </c>
    </row>
    <row r="2254" spans="1:10">
      <c r="A2254" s="2" t="str">
        <f>"2251"</f>
        <v>2251</v>
      </c>
      <c r="B2254" s="2" t="s">
        <v>9</v>
      </c>
      <c r="C2254" s="2" t="str">
        <f>"1 (1)"</f>
        <v>1 (1)</v>
      </c>
      <c r="D2254" s="2" t="s">
        <v>7471</v>
      </c>
      <c r="E2254" s="5" t="s">
        <v>7472</v>
      </c>
      <c r="F2254" s="3" t="s">
        <v>7473</v>
      </c>
      <c r="G2254" s="3" t="s">
        <v>6578</v>
      </c>
      <c r="H2254" s="2" t="str">
        <f>"2012"</f>
        <v>2012</v>
      </c>
      <c r="I2254" t="s">
        <v>14</v>
      </c>
      <c r="J2254" t="s">
        <v>15</v>
      </c>
    </row>
    <row r="2255" spans="1:10">
      <c r="A2255" s="2" t="str">
        <f>"2252"</f>
        <v>2252</v>
      </c>
      <c r="B2255" s="2" t="s">
        <v>9</v>
      </c>
      <c r="C2255" s="2" t="str">
        <f>"1 (1)"</f>
        <v>1 (1)</v>
      </c>
      <c r="D2255" s="2" t="s">
        <v>7474</v>
      </c>
      <c r="E2255" s="5" t="s">
        <v>7475</v>
      </c>
      <c r="F2255" s="3" t="s">
        <v>7476</v>
      </c>
      <c r="G2255" s="3" t="s">
        <v>7109</v>
      </c>
      <c r="H2255" s="2" t="str">
        <f>"2012"</f>
        <v>2012</v>
      </c>
      <c r="I2255" t="s">
        <v>14</v>
      </c>
      <c r="J2255" t="s">
        <v>15</v>
      </c>
    </row>
    <row r="2256" spans="1:10">
      <c r="A2256" s="2" t="str">
        <f>"2253"</f>
        <v>2253</v>
      </c>
      <c r="B2256" s="2" t="s">
        <v>9</v>
      </c>
      <c r="C2256" s="2" t="str">
        <f>"1 (1)"</f>
        <v>1 (1)</v>
      </c>
      <c r="D2256" s="2" t="s">
        <v>7477</v>
      </c>
      <c r="E2256" s="5" t="s">
        <v>7478</v>
      </c>
      <c r="F2256" s="3" t="s">
        <v>7479</v>
      </c>
      <c r="G2256" s="3" t="s">
        <v>6875</v>
      </c>
      <c r="H2256" s="2" t="str">
        <f>"2013"</f>
        <v>2013</v>
      </c>
      <c r="I2256" t="s">
        <v>14</v>
      </c>
      <c r="J2256" t="s">
        <v>15</v>
      </c>
    </row>
    <row r="2257" spans="1:10">
      <c r="A2257" s="2" t="str">
        <f>"2254"</f>
        <v>2254</v>
      </c>
      <c r="B2257" s="2" t="s">
        <v>9</v>
      </c>
      <c r="C2257" s="2" t="str">
        <f>"1 (1)"</f>
        <v>1 (1)</v>
      </c>
      <c r="D2257" s="2" t="s">
        <v>7480</v>
      </c>
      <c r="E2257" s="5" t="s">
        <v>7481</v>
      </c>
      <c r="F2257" s="3" t="s">
        <v>7482</v>
      </c>
      <c r="G2257" s="3" t="s">
        <v>58</v>
      </c>
      <c r="H2257" s="2" t="str">
        <f>"2012"</f>
        <v>2012</v>
      </c>
      <c r="I2257" t="s">
        <v>14</v>
      </c>
      <c r="J2257" t="s">
        <v>15</v>
      </c>
    </row>
    <row r="2258" spans="1:10">
      <c r="A2258" s="2" t="str">
        <f>"2255"</f>
        <v>2255</v>
      </c>
      <c r="B2258" s="2" t="s">
        <v>9</v>
      </c>
      <c r="C2258" s="2" t="str">
        <f>"1 (1)"</f>
        <v>1 (1)</v>
      </c>
      <c r="D2258" s="2" t="s">
        <v>7483</v>
      </c>
      <c r="E2258" s="5" t="s">
        <v>7484</v>
      </c>
      <c r="F2258" s="3" t="s">
        <v>7485</v>
      </c>
      <c r="G2258" s="3" t="s">
        <v>7486</v>
      </c>
      <c r="H2258" s="2" t="str">
        <f>"2012"</f>
        <v>2012</v>
      </c>
      <c r="I2258" t="s">
        <v>14</v>
      </c>
      <c r="J2258" t="s">
        <v>15</v>
      </c>
    </row>
    <row r="2259" spans="1:10">
      <c r="A2259" s="2" t="str">
        <f>"2256"</f>
        <v>2256</v>
      </c>
      <c r="B2259" s="2" t="s">
        <v>9</v>
      </c>
      <c r="C2259" s="2" t="str">
        <f>"1 (1)"</f>
        <v>1 (1)</v>
      </c>
      <c r="D2259" s="2" t="s">
        <v>7487</v>
      </c>
      <c r="E2259" s="5" t="s">
        <v>7488</v>
      </c>
      <c r="F2259" s="3" t="s">
        <v>7489</v>
      </c>
      <c r="G2259" s="3" t="s">
        <v>156</v>
      </c>
      <c r="H2259" s="2" t="str">
        <f>"2013"</f>
        <v>2013</v>
      </c>
      <c r="I2259" t="s">
        <v>14</v>
      </c>
      <c r="J2259" t="s">
        <v>15</v>
      </c>
    </row>
    <row r="2260" spans="1:10">
      <c r="A2260" s="2" t="str">
        <f>"2257"</f>
        <v>2257</v>
      </c>
      <c r="B2260" s="2" t="s">
        <v>9</v>
      </c>
      <c r="C2260" s="2" t="str">
        <f>"1 (1)"</f>
        <v>1 (1)</v>
      </c>
      <c r="D2260" s="2" t="s">
        <v>7490</v>
      </c>
      <c r="E2260" s="5" t="s">
        <v>7491</v>
      </c>
      <c r="F2260" s="3" t="s">
        <v>7492</v>
      </c>
      <c r="G2260" s="3" t="s">
        <v>380</v>
      </c>
      <c r="H2260" s="2" t="str">
        <f>"2013"</f>
        <v>2013</v>
      </c>
      <c r="I2260" t="s">
        <v>14</v>
      </c>
      <c r="J2260" t="s">
        <v>15</v>
      </c>
    </row>
    <row r="2261" spans="1:10">
      <c r="A2261" s="2" t="str">
        <f>"2258"</f>
        <v>2258</v>
      </c>
      <c r="B2261" s="2" t="s">
        <v>9</v>
      </c>
      <c r="C2261" s="2" t="str">
        <f>"1 (1)"</f>
        <v>1 (1)</v>
      </c>
      <c r="D2261" s="2" t="s">
        <v>7493</v>
      </c>
      <c r="E2261" s="5" t="s">
        <v>7494</v>
      </c>
      <c r="F2261" s="3" t="s">
        <v>7495</v>
      </c>
      <c r="G2261" s="3" t="s">
        <v>856</v>
      </c>
      <c r="H2261" s="2" t="str">
        <f>"2013"</f>
        <v>2013</v>
      </c>
      <c r="I2261" t="s">
        <v>14</v>
      </c>
      <c r="J2261" t="s">
        <v>15</v>
      </c>
    </row>
    <row r="2262" spans="1:10">
      <c r="A2262" s="2" t="str">
        <f>"2259"</f>
        <v>2259</v>
      </c>
      <c r="B2262" s="2" t="s">
        <v>9</v>
      </c>
      <c r="C2262" s="2" t="str">
        <f>"1 (1)"</f>
        <v>1 (1)</v>
      </c>
      <c r="D2262" s="2" t="s">
        <v>7496</v>
      </c>
      <c r="E2262" s="5" t="s">
        <v>7497</v>
      </c>
      <c r="F2262" s="3" t="s">
        <v>7498</v>
      </c>
      <c r="G2262" s="3" t="s">
        <v>832</v>
      </c>
      <c r="H2262" s="2" t="str">
        <f>"2013"</f>
        <v>2013</v>
      </c>
      <c r="I2262" t="s">
        <v>14</v>
      </c>
      <c r="J2262" t="s">
        <v>15</v>
      </c>
    </row>
    <row r="2263" spans="1:10">
      <c r="A2263" s="2" t="str">
        <f>"2260"</f>
        <v>2260</v>
      </c>
      <c r="B2263" s="2" t="s">
        <v>9</v>
      </c>
      <c r="C2263" s="2" t="str">
        <f>"1 (1)"</f>
        <v>1 (1)</v>
      </c>
      <c r="D2263" s="2" t="s">
        <v>7499</v>
      </c>
      <c r="E2263" s="5" t="s">
        <v>7500</v>
      </c>
      <c r="F2263" s="3" t="s">
        <v>7501</v>
      </c>
      <c r="G2263" s="3" t="s">
        <v>7502</v>
      </c>
      <c r="H2263" s="2" t="str">
        <f>"2013"</f>
        <v>2013</v>
      </c>
      <c r="I2263" t="s">
        <v>14</v>
      </c>
      <c r="J2263" t="s">
        <v>15</v>
      </c>
    </row>
    <row r="2264" spans="1:10">
      <c r="A2264" s="2" t="str">
        <f>"2261"</f>
        <v>2261</v>
      </c>
      <c r="B2264" s="2" t="s">
        <v>9</v>
      </c>
      <c r="C2264" s="2" t="str">
        <f>"1 (1)"</f>
        <v>1 (1)</v>
      </c>
      <c r="D2264" s="2" t="s">
        <v>7503</v>
      </c>
      <c r="E2264" s="5" t="s">
        <v>7504</v>
      </c>
      <c r="F2264" s="3" t="s">
        <v>7505</v>
      </c>
      <c r="G2264" s="3" t="s">
        <v>156</v>
      </c>
      <c r="H2264" s="2" t="str">
        <f>"2013"</f>
        <v>2013</v>
      </c>
      <c r="I2264" t="s">
        <v>14</v>
      </c>
      <c r="J2264" t="s">
        <v>15</v>
      </c>
    </row>
    <row r="2265" spans="1:10">
      <c r="A2265" s="2" t="str">
        <f>"2262"</f>
        <v>2262</v>
      </c>
      <c r="B2265" s="2" t="s">
        <v>9</v>
      </c>
      <c r="C2265" s="2" t="str">
        <f>"1 (1)"</f>
        <v>1 (1)</v>
      </c>
      <c r="D2265" s="2" t="s">
        <v>7506</v>
      </c>
      <c r="E2265" s="5" t="s">
        <v>7507</v>
      </c>
      <c r="F2265" s="3" t="s">
        <v>7508</v>
      </c>
      <c r="G2265" s="3" t="s">
        <v>7509</v>
      </c>
      <c r="H2265" s="2" t="str">
        <f>"2012"</f>
        <v>2012</v>
      </c>
      <c r="I2265" t="s">
        <v>14</v>
      </c>
      <c r="J2265" t="s">
        <v>15</v>
      </c>
    </row>
    <row r="2266" spans="1:10">
      <c r="A2266" s="2" t="str">
        <f>"2263"</f>
        <v>2263</v>
      </c>
      <c r="B2266" s="2" t="s">
        <v>9</v>
      </c>
      <c r="C2266" s="2" t="str">
        <f>"1 (1)"</f>
        <v>1 (1)</v>
      </c>
      <c r="D2266" s="2" t="s">
        <v>7510</v>
      </c>
      <c r="E2266" s="5" t="s">
        <v>7511</v>
      </c>
      <c r="F2266" s="3" t="s">
        <v>7512</v>
      </c>
      <c r="G2266" s="3" t="s">
        <v>6964</v>
      </c>
      <c r="H2266" s="2" t="str">
        <f>"2013"</f>
        <v>2013</v>
      </c>
      <c r="I2266" t="s">
        <v>14</v>
      </c>
      <c r="J2266" t="s">
        <v>15</v>
      </c>
    </row>
    <row r="2267" spans="1:10">
      <c r="A2267" s="2" t="str">
        <f>"2264"</f>
        <v>2264</v>
      </c>
      <c r="B2267" s="2" t="s">
        <v>9</v>
      </c>
      <c r="C2267" s="2" t="str">
        <f>"1 (1)"</f>
        <v>1 (1)</v>
      </c>
      <c r="D2267" s="2" t="s">
        <v>7513</v>
      </c>
      <c r="E2267" s="5" t="s">
        <v>7514</v>
      </c>
      <c r="F2267" s="3" t="s">
        <v>7515</v>
      </c>
      <c r="G2267" s="3" t="s">
        <v>7516</v>
      </c>
      <c r="H2267" s="2" t="str">
        <f>"2011"</f>
        <v>2011</v>
      </c>
      <c r="I2267" t="s">
        <v>14</v>
      </c>
      <c r="J2267" t="s">
        <v>15</v>
      </c>
    </row>
    <row r="2268" spans="1:10">
      <c r="A2268" s="2" t="str">
        <f>"2265"</f>
        <v>2265</v>
      </c>
      <c r="B2268" s="2" t="s">
        <v>9</v>
      </c>
      <c r="C2268" s="2" t="str">
        <f>"1 (1)"</f>
        <v>1 (1)</v>
      </c>
      <c r="D2268" s="2" t="s">
        <v>7517</v>
      </c>
      <c r="E2268" s="5" t="s">
        <v>7518</v>
      </c>
      <c r="F2268" s="3" t="s">
        <v>7519</v>
      </c>
      <c r="G2268" s="3" t="s">
        <v>7516</v>
      </c>
      <c r="H2268" s="2" t="str">
        <f>"2012"</f>
        <v>2012</v>
      </c>
      <c r="I2268" t="s">
        <v>14</v>
      </c>
      <c r="J2268" t="s">
        <v>15</v>
      </c>
    </row>
    <row r="2269" spans="1:10">
      <c r="A2269" s="2" t="str">
        <f>"2266"</f>
        <v>2266</v>
      </c>
      <c r="B2269" s="2" t="s">
        <v>9</v>
      </c>
      <c r="C2269" s="2" t="str">
        <f>"1 (1)"</f>
        <v>1 (1)</v>
      </c>
      <c r="D2269" s="2" t="s">
        <v>7520</v>
      </c>
      <c r="E2269" s="5" t="s">
        <v>7521</v>
      </c>
      <c r="F2269" s="3" t="s">
        <v>7522</v>
      </c>
      <c r="G2269" s="3" t="s">
        <v>7379</v>
      </c>
      <c r="H2269" s="2" t="str">
        <f>"2013"</f>
        <v>2013</v>
      </c>
      <c r="I2269" t="s">
        <v>14</v>
      </c>
      <c r="J2269" t="s">
        <v>15</v>
      </c>
    </row>
    <row r="2270" spans="1:10">
      <c r="A2270" s="2" t="str">
        <f>"2267"</f>
        <v>2267</v>
      </c>
      <c r="B2270" s="2" t="s">
        <v>9</v>
      </c>
      <c r="C2270" s="2" t="str">
        <f>"1 (1)"</f>
        <v>1 (1)</v>
      </c>
      <c r="D2270" s="2" t="s">
        <v>7523</v>
      </c>
      <c r="E2270" s="5" t="s">
        <v>7524</v>
      </c>
      <c r="F2270" s="3" t="s">
        <v>7525</v>
      </c>
      <c r="G2270" s="3" t="s">
        <v>6487</v>
      </c>
      <c r="H2270" s="2" t="str">
        <f>"2013"</f>
        <v>2013</v>
      </c>
      <c r="I2270" t="s">
        <v>14</v>
      </c>
      <c r="J2270" t="s">
        <v>15</v>
      </c>
    </row>
    <row r="2271" spans="1:10">
      <c r="A2271" s="2" t="str">
        <f>"2268"</f>
        <v>2268</v>
      </c>
      <c r="B2271" s="2" t="s">
        <v>9</v>
      </c>
      <c r="C2271" s="2" t="str">
        <f>"1 (1)"</f>
        <v>1 (1)</v>
      </c>
      <c r="D2271" s="2" t="s">
        <v>7526</v>
      </c>
      <c r="E2271" s="5" t="s">
        <v>7527</v>
      </c>
      <c r="F2271" s="3" t="s">
        <v>7525</v>
      </c>
      <c r="G2271" s="3" t="s">
        <v>6487</v>
      </c>
      <c r="H2271" s="2" t="str">
        <f>"2013"</f>
        <v>2013</v>
      </c>
      <c r="I2271" t="s">
        <v>14</v>
      </c>
      <c r="J2271" t="s">
        <v>15</v>
      </c>
    </row>
    <row r="2272" spans="1:10">
      <c r="A2272" s="2" t="str">
        <f>"2269"</f>
        <v>2269</v>
      </c>
      <c r="B2272" s="2" t="s">
        <v>9</v>
      </c>
      <c r="C2272" s="2" t="str">
        <f>"1 (1)"</f>
        <v>1 (1)</v>
      </c>
      <c r="D2272" s="2" t="s">
        <v>7528</v>
      </c>
      <c r="E2272" s="5" t="s">
        <v>7529</v>
      </c>
      <c r="F2272" s="3" t="s">
        <v>7525</v>
      </c>
      <c r="G2272" s="3" t="s">
        <v>6487</v>
      </c>
      <c r="H2272" s="2" t="str">
        <f>"2013"</f>
        <v>2013</v>
      </c>
      <c r="I2272" t="s">
        <v>14</v>
      </c>
      <c r="J2272" t="s">
        <v>15</v>
      </c>
    </row>
    <row r="2273" spans="1:10">
      <c r="A2273" s="2" t="str">
        <f>"2270"</f>
        <v>2270</v>
      </c>
      <c r="B2273" s="2" t="s">
        <v>9</v>
      </c>
      <c r="C2273" s="2" t="str">
        <f>"1 (1)"</f>
        <v>1 (1)</v>
      </c>
      <c r="D2273" s="2" t="s">
        <v>7530</v>
      </c>
      <c r="E2273" s="5" t="s">
        <v>7531</v>
      </c>
      <c r="F2273" s="3" t="s">
        <v>7525</v>
      </c>
      <c r="G2273" s="3" t="s">
        <v>6487</v>
      </c>
      <c r="H2273" s="2" t="str">
        <f>"2013"</f>
        <v>2013</v>
      </c>
      <c r="I2273" t="s">
        <v>14</v>
      </c>
      <c r="J2273" t="s">
        <v>15</v>
      </c>
    </row>
    <row r="2274" spans="1:10">
      <c r="A2274" s="2" t="str">
        <f>"2271"</f>
        <v>2271</v>
      </c>
      <c r="B2274" s="2" t="s">
        <v>9</v>
      </c>
      <c r="C2274" s="2" t="str">
        <f>"1 (1)"</f>
        <v>1 (1)</v>
      </c>
      <c r="D2274" s="2" t="s">
        <v>7532</v>
      </c>
      <c r="E2274" s="5" t="s">
        <v>7533</v>
      </c>
      <c r="F2274" s="3" t="s">
        <v>7525</v>
      </c>
      <c r="G2274" s="3" t="s">
        <v>6487</v>
      </c>
      <c r="H2274" s="2" t="str">
        <f>"2013"</f>
        <v>2013</v>
      </c>
      <c r="I2274" t="s">
        <v>14</v>
      </c>
      <c r="J2274" t="s">
        <v>15</v>
      </c>
    </row>
    <row r="2275" spans="1:10">
      <c r="A2275" s="2" t="str">
        <f>"2272"</f>
        <v>2272</v>
      </c>
      <c r="B2275" s="2" t="s">
        <v>9</v>
      </c>
      <c r="C2275" s="2" t="str">
        <f>"1 (1)"</f>
        <v>1 (1)</v>
      </c>
      <c r="D2275" s="2" t="s">
        <v>7534</v>
      </c>
      <c r="E2275" s="5" t="s">
        <v>7535</v>
      </c>
      <c r="F2275" s="3" t="s">
        <v>7525</v>
      </c>
      <c r="G2275" s="3" t="s">
        <v>6487</v>
      </c>
      <c r="H2275" s="2" t="str">
        <f>"2013"</f>
        <v>2013</v>
      </c>
      <c r="I2275" t="s">
        <v>14</v>
      </c>
      <c r="J2275" t="s">
        <v>15</v>
      </c>
    </row>
    <row r="2276" spans="1:10">
      <c r="A2276" s="2" t="str">
        <f>"2273"</f>
        <v>2273</v>
      </c>
      <c r="B2276" s="2" t="s">
        <v>9</v>
      </c>
      <c r="C2276" s="2" t="str">
        <f>"1 (1)"</f>
        <v>1 (1)</v>
      </c>
      <c r="D2276" s="2" t="s">
        <v>7536</v>
      </c>
      <c r="E2276" s="5" t="s">
        <v>7537</v>
      </c>
      <c r="F2276" s="3" t="s">
        <v>7538</v>
      </c>
      <c r="G2276" s="3" t="s">
        <v>5563</v>
      </c>
      <c r="H2276" s="2" t="str">
        <f>"2012"</f>
        <v>2012</v>
      </c>
      <c r="I2276" t="s">
        <v>14</v>
      </c>
      <c r="J2276" t="s">
        <v>15</v>
      </c>
    </row>
    <row r="2277" spans="1:10">
      <c r="A2277" s="2" t="str">
        <f>"2274"</f>
        <v>2274</v>
      </c>
      <c r="B2277" s="2" t="s">
        <v>9</v>
      </c>
      <c r="C2277" s="2" t="str">
        <f>"1 (1)"</f>
        <v>1 (1)</v>
      </c>
      <c r="D2277" s="2" t="s">
        <v>7539</v>
      </c>
      <c r="E2277" s="5" t="s">
        <v>7540</v>
      </c>
      <c r="F2277" s="3" t="s">
        <v>7541</v>
      </c>
      <c r="G2277" s="3" t="s">
        <v>1519</v>
      </c>
      <c r="H2277" s="2" t="str">
        <f>"2013"</f>
        <v>2013</v>
      </c>
      <c r="I2277" t="s">
        <v>14</v>
      </c>
      <c r="J2277" t="s">
        <v>15</v>
      </c>
    </row>
    <row r="2278" spans="1:10">
      <c r="A2278" s="2" t="str">
        <f>"2275"</f>
        <v>2275</v>
      </c>
      <c r="B2278" s="2" t="s">
        <v>9</v>
      </c>
      <c r="C2278" s="2" t="str">
        <f>"1 (1)"</f>
        <v>1 (1)</v>
      </c>
      <c r="D2278" s="2" t="s">
        <v>7542</v>
      </c>
      <c r="E2278" s="5" t="s">
        <v>7543</v>
      </c>
      <c r="F2278" s="3" t="s">
        <v>7544</v>
      </c>
      <c r="G2278" s="3" t="s">
        <v>6509</v>
      </c>
      <c r="H2278" s="2" t="str">
        <f>"2013"</f>
        <v>2013</v>
      </c>
      <c r="I2278" t="s">
        <v>14</v>
      </c>
      <c r="J2278" t="s">
        <v>15</v>
      </c>
    </row>
    <row r="2279" spans="1:10">
      <c r="A2279" s="2" t="str">
        <f>"2276"</f>
        <v>2276</v>
      </c>
      <c r="B2279" s="2" t="s">
        <v>9</v>
      </c>
      <c r="C2279" s="2" t="str">
        <f>"1 (1)"</f>
        <v>1 (1)</v>
      </c>
      <c r="D2279" s="2" t="s">
        <v>7545</v>
      </c>
      <c r="E2279" s="5" t="s">
        <v>7546</v>
      </c>
      <c r="F2279" s="3" t="s">
        <v>7547</v>
      </c>
      <c r="G2279" s="3" t="s">
        <v>6792</v>
      </c>
      <c r="H2279" s="2" t="str">
        <f>"2013"</f>
        <v>2013</v>
      </c>
      <c r="I2279" t="s">
        <v>14</v>
      </c>
      <c r="J2279" t="s">
        <v>15</v>
      </c>
    </row>
    <row r="2280" spans="1:10">
      <c r="A2280" s="2" t="str">
        <f>"2277"</f>
        <v>2277</v>
      </c>
      <c r="B2280" s="2" t="s">
        <v>9</v>
      </c>
      <c r="C2280" s="2" t="str">
        <f>"1 (1)"</f>
        <v>1 (1)</v>
      </c>
      <c r="D2280" s="2" t="s">
        <v>7548</v>
      </c>
      <c r="E2280" s="5" t="s">
        <v>7549</v>
      </c>
      <c r="F2280" s="3" t="s">
        <v>7550</v>
      </c>
      <c r="G2280" s="3" t="s">
        <v>1010</v>
      </c>
      <c r="H2280" s="2" t="str">
        <f>"2013"</f>
        <v>2013</v>
      </c>
      <c r="I2280" t="s">
        <v>14</v>
      </c>
      <c r="J2280" t="s">
        <v>15</v>
      </c>
    </row>
    <row r="2281" spans="1:10">
      <c r="A2281" s="2" t="str">
        <f>"2278"</f>
        <v>2278</v>
      </c>
      <c r="B2281" s="2" t="s">
        <v>9</v>
      </c>
      <c r="C2281" s="2" t="str">
        <f>"1 (1)"</f>
        <v>1 (1)</v>
      </c>
      <c r="D2281" s="2" t="s">
        <v>7551</v>
      </c>
      <c r="E2281" s="5" t="s">
        <v>7552</v>
      </c>
      <c r="F2281" s="3" t="s">
        <v>7553</v>
      </c>
      <c r="G2281" s="3" t="s">
        <v>6758</v>
      </c>
      <c r="H2281" s="2" t="str">
        <f>"2013"</f>
        <v>2013</v>
      </c>
      <c r="I2281" t="s">
        <v>14</v>
      </c>
      <c r="J2281" t="s">
        <v>15</v>
      </c>
    </row>
    <row r="2282" spans="1:10">
      <c r="A2282" s="2" t="str">
        <f>"2279"</f>
        <v>2279</v>
      </c>
      <c r="B2282" s="2" t="s">
        <v>9</v>
      </c>
      <c r="C2282" s="2" t="str">
        <f>"1 (1)"</f>
        <v>1 (1)</v>
      </c>
      <c r="D2282" s="2" t="s">
        <v>7554</v>
      </c>
      <c r="E2282" s="5" t="s">
        <v>7555</v>
      </c>
      <c r="F2282" s="3" t="s">
        <v>7556</v>
      </c>
      <c r="G2282" s="3" t="s">
        <v>564</v>
      </c>
      <c r="H2282" s="2" t="str">
        <f>"2013"</f>
        <v>2013</v>
      </c>
      <c r="I2282" t="s">
        <v>14</v>
      </c>
      <c r="J2282" t="s">
        <v>15</v>
      </c>
    </row>
    <row r="2283" spans="1:10">
      <c r="A2283" s="2" t="str">
        <f>"2280"</f>
        <v>2280</v>
      </c>
      <c r="B2283" s="2" t="s">
        <v>9</v>
      </c>
      <c r="C2283" s="2" t="str">
        <f>"1 (1)"</f>
        <v>1 (1)</v>
      </c>
      <c r="D2283" s="2" t="s">
        <v>7557</v>
      </c>
      <c r="E2283" s="5" t="s">
        <v>7558</v>
      </c>
      <c r="F2283" s="3" t="s">
        <v>7559</v>
      </c>
      <c r="G2283" s="3" t="s">
        <v>7560</v>
      </c>
      <c r="H2283" s="2" t="str">
        <f>"2013"</f>
        <v>2013</v>
      </c>
      <c r="I2283" t="s">
        <v>14</v>
      </c>
      <c r="J2283" t="s">
        <v>15</v>
      </c>
    </row>
    <row r="2284" spans="1:10">
      <c r="A2284" s="2" t="str">
        <f>"2281"</f>
        <v>2281</v>
      </c>
      <c r="B2284" s="2" t="s">
        <v>9</v>
      </c>
      <c r="C2284" s="2" t="str">
        <f>"1 (1)"</f>
        <v>1 (1)</v>
      </c>
      <c r="D2284" s="2" t="s">
        <v>7561</v>
      </c>
      <c r="E2284" s="5" t="s">
        <v>7562</v>
      </c>
      <c r="F2284" s="3" t="s">
        <v>7563</v>
      </c>
      <c r="G2284" s="3" t="s">
        <v>360</v>
      </c>
      <c r="H2284" s="2" t="str">
        <f>"2013"</f>
        <v>2013</v>
      </c>
      <c r="I2284" t="s">
        <v>14</v>
      </c>
      <c r="J2284" t="s">
        <v>15</v>
      </c>
    </row>
    <row r="2285" spans="1:10">
      <c r="A2285" s="2" t="str">
        <f>"2282"</f>
        <v>2282</v>
      </c>
      <c r="B2285" s="2" t="s">
        <v>9</v>
      </c>
      <c r="C2285" s="2" t="str">
        <f>"1 (1)"</f>
        <v>1 (1)</v>
      </c>
      <c r="D2285" s="2" t="s">
        <v>7564</v>
      </c>
      <c r="E2285" s="5" t="s">
        <v>7565</v>
      </c>
      <c r="F2285" s="3" t="s">
        <v>7566</v>
      </c>
      <c r="G2285" s="3" t="s">
        <v>6701</v>
      </c>
      <c r="H2285" s="2" t="str">
        <f>"2012"</f>
        <v>2012</v>
      </c>
      <c r="I2285" t="s">
        <v>14</v>
      </c>
      <c r="J2285" t="s">
        <v>15</v>
      </c>
    </row>
    <row r="2286" spans="1:10">
      <c r="A2286" s="2" t="str">
        <f>"2283"</f>
        <v>2283</v>
      </c>
      <c r="B2286" s="2" t="s">
        <v>9</v>
      </c>
      <c r="C2286" s="2" t="str">
        <f>"1 (1)"</f>
        <v>1 (1)</v>
      </c>
      <c r="D2286" s="2" t="s">
        <v>7567</v>
      </c>
      <c r="E2286" s="5" t="s">
        <v>7568</v>
      </c>
      <c r="F2286" s="3" t="s">
        <v>7569</v>
      </c>
      <c r="G2286" s="3" t="s">
        <v>950</v>
      </c>
      <c r="H2286" s="2" t="str">
        <f>"2013"</f>
        <v>2013</v>
      </c>
      <c r="I2286" t="s">
        <v>14</v>
      </c>
      <c r="J2286" t="s">
        <v>15</v>
      </c>
    </row>
    <row r="2287" spans="1:10">
      <c r="A2287" s="2" t="str">
        <f>"2284"</f>
        <v>2284</v>
      </c>
      <c r="B2287" s="2" t="s">
        <v>9</v>
      </c>
      <c r="C2287" s="2" t="str">
        <f>"1 (1)"</f>
        <v>1 (1)</v>
      </c>
      <c r="D2287" s="2" t="s">
        <v>7570</v>
      </c>
      <c r="E2287" s="5" t="s">
        <v>7571</v>
      </c>
      <c r="F2287" s="3" t="s">
        <v>7572</v>
      </c>
      <c r="G2287" s="3" t="s">
        <v>7363</v>
      </c>
      <c r="H2287" s="2" t="str">
        <f>"2013"</f>
        <v>2013</v>
      </c>
      <c r="I2287" t="s">
        <v>14</v>
      </c>
      <c r="J2287" t="s">
        <v>15</v>
      </c>
    </row>
    <row r="2288" spans="1:10">
      <c r="A2288" s="2" t="str">
        <f>"2285"</f>
        <v>2285</v>
      </c>
      <c r="B2288" s="2" t="s">
        <v>9</v>
      </c>
      <c r="C2288" s="2" t="str">
        <f>"1 (1)"</f>
        <v>1 (1)</v>
      </c>
      <c r="D2288" s="2" t="s">
        <v>7573</v>
      </c>
      <c r="E2288" s="5" t="s">
        <v>7574</v>
      </c>
      <c r="F2288" s="3" t="s">
        <v>7575</v>
      </c>
      <c r="G2288" s="3" t="s">
        <v>1248</v>
      </c>
      <c r="H2288" s="2" t="str">
        <f>"2013"</f>
        <v>2013</v>
      </c>
      <c r="I2288" t="s">
        <v>14</v>
      </c>
      <c r="J2288" t="s">
        <v>15</v>
      </c>
    </row>
    <row r="2289" spans="1:10">
      <c r="A2289" s="2" t="str">
        <f>"2286"</f>
        <v>2286</v>
      </c>
      <c r="B2289" s="2" t="s">
        <v>9</v>
      </c>
      <c r="C2289" s="2" t="str">
        <f>"1 (1)"</f>
        <v>1 (1)</v>
      </c>
      <c r="D2289" s="2" t="s">
        <v>7576</v>
      </c>
      <c r="E2289" s="5" t="s">
        <v>7577</v>
      </c>
      <c r="F2289" s="3" t="s">
        <v>7578</v>
      </c>
      <c r="G2289" s="3" t="s">
        <v>980</v>
      </c>
      <c r="H2289" s="2" t="str">
        <f>"2013"</f>
        <v>2013</v>
      </c>
      <c r="I2289" t="s">
        <v>14</v>
      </c>
      <c r="J2289" t="s">
        <v>15</v>
      </c>
    </row>
    <row r="2290" spans="1:10">
      <c r="A2290" s="2" t="str">
        <f>"2287"</f>
        <v>2287</v>
      </c>
      <c r="B2290" s="2" t="s">
        <v>9</v>
      </c>
      <c r="C2290" s="2" t="str">
        <f>"1 (1)"</f>
        <v>1 (1)</v>
      </c>
      <c r="D2290" s="2" t="s">
        <v>7579</v>
      </c>
      <c r="E2290" s="5" t="s">
        <v>7580</v>
      </c>
      <c r="F2290" s="3" t="s">
        <v>7581</v>
      </c>
      <c r="G2290" s="3" t="s">
        <v>58</v>
      </c>
      <c r="H2290" s="2" t="str">
        <f>"2013"</f>
        <v>2013</v>
      </c>
      <c r="I2290" t="s">
        <v>14</v>
      </c>
      <c r="J2290" t="s">
        <v>15</v>
      </c>
    </row>
    <row r="2291" spans="1:10">
      <c r="A2291" s="2" t="str">
        <f>"2288"</f>
        <v>2288</v>
      </c>
      <c r="B2291" s="2" t="s">
        <v>9</v>
      </c>
      <c r="C2291" s="2" t="str">
        <f>"1 (1)"</f>
        <v>1 (1)</v>
      </c>
      <c r="D2291" s="2" t="s">
        <v>7582</v>
      </c>
      <c r="E2291" s="5" t="s">
        <v>7583</v>
      </c>
      <c r="F2291" s="3" t="s">
        <v>7584</v>
      </c>
      <c r="G2291" s="3" t="s">
        <v>156</v>
      </c>
      <c r="H2291" s="2" t="str">
        <f>"2013"</f>
        <v>2013</v>
      </c>
      <c r="I2291" t="s">
        <v>14</v>
      </c>
      <c r="J2291" t="s">
        <v>15</v>
      </c>
    </row>
    <row r="2292" spans="1:10">
      <c r="A2292" s="2" t="str">
        <f>"2289"</f>
        <v>2289</v>
      </c>
      <c r="B2292" s="2" t="s">
        <v>9</v>
      </c>
      <c r="C2292" s="2" t="str">
        <f>"1 (1)"</f>
        <v>1 (1)</v>
      </c>
      <c r="D2292" s="2" t="s">
        <v>7585</v>
      </c>
      <c r="E2292" s="5" t="s">
        <v>7586</v>
      </c>
      <c r="F2292" s="3" t="s">
        <v>7587</v>
      </c>
      <c r="G2292" s="3" t="s">
        <v>1501</v>
      </c>
      <c r="H2292" s="2" t="str">
        <f>"2013"</f>
        <v>2013</v>
      </c>
      <c r="I2292" t="s">
        <v>14</v>
      </c>
      <c r="J2292" t="s">
        <v>15</v>
      </c>
    </row>
    <row r="2293" spans="1:10">
      <c r="A2293" s="2" t="str">
        <f>"2290"</f>
        <v>2290</v>
      </c>
      <c r="B2293" s="2" t="s">
        <v>9</v>
      </c>
      <c r="C2293" s="2" t="str">
        <f>"1 (1)"</f>
        <v>1 (1)</v>
      </c>
      <c r="D2293" s="2" t="s">
        <v>7588</v>
      </c>
      <c r="E2293" s="5" t="s">
        <v>7589</v>
      </c>
      <c r="F2293" s="3" t="s">
        <v>7590</v>
      </c>
      <c r="G2293" s="3" t="s">
        <v>1122</v>
      </c>
      <c r="H2293" s="2" t="str">
        <f>"2013"</f>
        <v>2013</v>
      </c>
      <c r="I2293" t="s">
        <v>14</v>
      </c>
      <c r="J2293" t="s">
        <v>15</v>
      </c>
    </row>
    <row r="2294" spans="1:10">
      <c r="A2294" s="2" t="str">
        <f>"2291"</f>
        <v>2291</v>
      </c>
      <c r="B2294" s="2" t="s">
        <v>9</v>
      </c>
      <c r="C2294" s="2" t="str">
        <f>"1 (1)"</f>
        <v>1 (1)</v>
      </c>
      <c r="D2294" s="2" t="s">
        <v>7591</v>
      </c>
      <c r="E2294" s="5" t="s">
        <v>7592</v>
      </c>
      <c r="F2294" s="3" t="s">
        <v>7593</v>
      </c>
      <c r="G2294" s="3" t="s">
        <v>7594</v>
      </c>
      <c r="H2294" s="2" t="str">
        <f>"2012"</f>
        <v>2012</v>
      </c>
      <c r="I2294" t="s">
        <v>14</v>
      </c>
      <c r="J2294" t="s">
        <v>15</v>
      </c>
    </row>
    <row r="2295" spans="1:10">
      <c r="A2295" s="2" t="str">
        <f>"2292"</f>
        <v>2292</v>
      </c>
      <c r="B2295" s="2" t="s">
        <v>9</v>
      </c>
      <c r="C2295" s="2" t="str">
        <f>"1 (1)"</f>
        <v>1 (1)</v>
      </c>
      <c r="D2295" s="2" t="s">
        <v>7595</v>
      </c>
      <c r="E2295" s="5" t="s">
        <v>7596</v>
      </c>
      <c r="F2295" s="3" t="s">
        <v>7597</v>
      </c>
      <c r="G2295" s="3" t="s">
        <v>1221</v>
      </c>
      <c r="H2295" s="2" t="str">
        <f>"2013"</f>
        <v>2013</v>
      </c>
      <c r="I2295" t="s">
        <v>14</v>
      </c>
      <c r="J2295" t="s">
        <v>15</v>
      </c>
    </row>
    <row r="2296" spans="1:10">
      <c r="A2296" s="2" t="str">
        <f>"2293"</f>
        <v>2293</v>
      </c>
      <c r="B2296" s="2" t="s">
        <v>9</v>
      </c>
      <c r="C2296" s="2" t="str">
        <f>"1 (1)"</f>
        <v>1 (1)</v>
      </c>
      <c r="D2296" s="2" t="s">
        <v>7598</v>
      </c>
      <c r="E2296" s="5" t="s">
        <v>7599</v>
      </c>
      <c r="F2296" s="3" t="s">
        <v>7600</v>
      </c>
      <c r="G2296" s="3" t="s">
        <v>1122</v>
      </c>
      <c r="H2296" s="2" t="str">
        <f>"2013"</f>
        <v>2013</v>
      </c>
      <c r="I2296" t="s">
        <v>14</v>
      </c>
      <c r="J2296" t="s">
        <v>15</v>
      </c>
    </row>
    <row r="2297" spans="1:10">
      <c r="A2297" s="2" t="str">
        <f>"2294"</f>
        <v>2294</v>
      </c>
      <c r="B2297" s="2" t="s">
        <v>9</v>
      </c>
      <c r="C2297" s="2" t="str">
        <f>"1 (1)"</f>
        <v>1 (1)</v>
      </c>
      <c r="D2297" s="2" t="s">
        <v>7601</v>
      </c>
      <c r="E2297" s="5" t="s">
        <v>7602</v>
      </c>
      <c r="F2297" s="3" t="s">
        <v>7603</v>
      </c>
      <c r="G2297" s="3" t="s">
        <v>436</v>
      </c>
      <c r="H2297" s="2" t="str">
        <f>"2013"</f>
        <v>2013</v>
      </c>
      <c r="I2297" t="s">
        <v>14</v>
      </c>
      <c r="J2297" t="s">
        <v>15</v>
      </c>
    </row>
    <row r="2298" spans="1:10">
      <c r="A2298" s="2" t="str">
        <f>"2295"</f>
        <v>2295</v>
      </c>
      <c r="B2298" s="2" t="s">
        <v>9</v>
      </c>
      <c r="C2298" s="2" t="str">
        <f>"1 (1)"</f>
        <v>1 (1)</v>
      </c>
      <c r="D2298" s="2" t="s">
        <v>7604</v>
      </c>
      <c r="E2298" s="5" t="s">
        <v>7605</v>
      </c>
      <c r="F2298" s="3" t="s">
        <v>7606</v>
      </c>
      <c r="G2298" s="3" t="s">
        <v>832</v>
      </c>
      <c r="H2298" s="2" t="str">
        <f>"2012"</f>
        <v>2012</v>
      </c>
      <c r="I2298" t="s">
        <v>14</v>
      </c>
      <c r="J2298" t="s">
        <v>15</v>
      </c>
    </row>
    <row r="2299" spans="1:10">
      <c r="A2299" s="2" t="str">
        <f>"2296"</f>
        <v>2296</v>
      </c>
      <c r="B2299" s="2" t="s">
        <v>9</v>
      </c>
      <c r="C2299" s="2" t="str">
        <f>"1 (1)"</f>
        <v>1 (1)</v>
      </c>
      <c r="D2299" s="2" t="s">
        <v>7607</v>
      </c>
      <c r="E2299" s="5" t="s">
        <v>7608</v>
      </c>
      <c r="F2299" s="3" t="s">
        <v>7609</v>
      </c>
      <c r="G2299" s="3" t="s">
        <v>1491</v>
      </c>
      <c r="H2299" s="2" t="str">
        <f>"2013"</f>
        <v>2013</v>
      </c>
      <c r="I2299" t="s">
        <v>14</v>
      </c>
      <c r="J2299" t="s">
        <v>15</v>
      </c>
    </row>
    <row r="2300" spans="1:10">
      <c r="A2300" s="2" t="str">
        <f>"2297"</f>
        <v>2297</v>
      </c>
      <c r="B2300" s="2" t="s">
        <v>9</v>
      </c>
      <c r="C2300" s="2" t="str">
        <f>"1 (1)"</f>
        <v>1 (1)</v>
      </c>
      <c r="D2300" s="2" t="s">
        <v>7610</v>
      </c>
      <c r="E2300" s="5" t="s">
        <v>7611</v>
      </c>
      <c r="F2300" s="3" t="s">
        <v>7612</v>
      </c>
      <c r="G2300" s="3" t="s">
        <v>156</v>
      </c>
      <c r="H2300" s="2" t="str">
        <f>"2013"</f>
        <v>2013</v>
      </c>
      <c r="I2300" t="s">
        <v>14</v>
      </c>
      <c r="J2300" t="s">
        <v>15</v>
      </c>
    </row>
    <row r="2301" spans="1:10">
      <c r="A2301" s="2" t="str">
        <f>"2298"</f>
        <v>2298</v>
      </c>
      <c r="B2301" s="2" t="s">
        <v>9</v>
      </c>
      <c r="C2301" s="2" t="str">
        <f>"1 (1)"</f>
        <v>1 (1)</v>
      </c>
      <c r="D2301" s="2" t="s">
        <v>7613</v>
      </c>
      <c r="E2301" s="5" t="s">
        <v>7614</v>
      </c>
      <c r="F2301" s="3" t="s">
        <v>7615</v>
      </c>
      <c r="G2301" s="3" t="s">
        <v>1491</v>
      </c>
      <c r="H2301" s="2" t="str">
        <f>"2013"</f>
        <v>2013</v>
      </c>
      <c r="I2301" t="s">
        <v>14</v>
      </c>
      <c r="J2301" t="s">
        <v>15</v>
      </c>
    </row>
    <row r="2302" spans="1:10">
      <c r="A2302" s="2" t="str">
        <f>"2299"</f>
        <v>2299</v>
      </c>
      <c r="B2302" s="2" t="s">
        <v>9</v>
      </c>
      <c r="C2302" s="2" t="str">
        <f>"1 (1)"</f>
        <v>1 (1)</v>
      </c>
      <c r="D2302" s="2" t="s">
        <v>7616</v>
      </c>
      <c r="E2302" s="5" t="s">
        <v>7617</v>
      </c>
      <c r="F2302" s="3" t="s">
        <v>7618</v>
      </c>
      <c r="G2302" s="3" t="s">
        <v>114</v>
      </c>
      <c r="H2302" s="2" t="str">
        <f>"2013"</f>
        <v>2013</v>
      </c>
      <c r="I2302" t="s">
        <v>14</v>
      </c>
      <c r="J2302" t="s">
        <v>15</v>
      </c>
    </row>
    <row r="2303" spans="1:10">
      <c r="A2303" s="2" t="str">
        <f>"2300"</f>
        <v>2300</v>
      </c>
      <c r="B2303" s="2" t="s">
        <v>9</v>
      </c>
      <c r="C2303" s="2" t="str">
        <f>"1 (1)"</f>
        <v>1 (1)</v>
      </c>
      <c r="D2303" s="2" t="s">
        <v>7619</v>
      </c>
      <c r="E2303" s="5" t="s">
        <v>7620</v>
      </c>
      <c r="F2303" s="3" t="s">
        <v>7621</v>
      </c>
      <c r="G2303" s="3" t="s">
        <v>156</v>
      </c>
      <c r="H2303" s="2" t="str">
        <f>"2013"</f>
        <v>2013</v>
      </c>
      <c r="I2303" t="s">
        <v>14</v>
      </c>
      <c r="J2303" t="s">
        <v>15</v>
      </c>
    </row>
    <row r="2304" spans="1:10">
      <c r="A2304" s="2" t="str">
        <f>"2301"</f>
        <v>2301</v>
      </c>
      <c r="B2304" s="2" t="s">
        <v>9</v>
      </c>
      <c r="C2304" s="2" t="str">
        <f>"1 (1)"</f>
        <v>1 (1)</v>
      </c>
      <c r="D2304" s="2" t="s">
        <v>7622</v>
      </c>
      <c r="E2304" s="5" t="s">
        <v>7623</v>
      </c>
      <c r="F2304" s="3" t="s">
        <v>7624</v>
      </c>
      <c r="G2304" s="3" t="s">
        <v>7625</v>
      </c>
      <c r="H2304" s="2" t="str">
        <f>"2013"</f>
        <v>2013</v>
      </c>
      <c r="I2304" t="s">
        <v>14</v>
      </c>
      <c r="J2304" t="s">
        <v>15</v>
      </c>
    </row>
    <row r="2305" spans="1:10">
      <c r="A2305" s="2" t="str">
        <f>"2302"</f>
        <v>2302</v>
      </c>
      <c r="B2305" s="2" t="s">
        <v>9</v>
      </c>
      <c r="C2305" s="2" t="str">
        <f>"1 (1)"</f>
        <v>1 (1)</v>
      </c>
      <c r="D2305" s="2" t="s">
        <v>7626</v>
      </c>
      <c r="E2305" s="5" t="s">
        <v>7627</v>
      </c>
      <c r="F2305" s="3" t="s">
        <v>7628</v>
      </c>
      <c r="G2305" s="3" t="s">
        <v>6525</v>
      </c>
      <c r="H2305" s="2" t="str">
        <f>"2013"</f>
        <v>2013</v>
      </c>
      <c r="I2305" t="s">
        <v>14</v>
      </c>
      <c r="J2305" t="s">
        <v>15</v>
      </c>
    </row>
    <row r="2306" spans="1:10">
      <c r="A2306" s="2" t="str">
        <f>"2303"</f>
        <v>2303</v>
      </c>
      <c r="B2306" s="2" t="s">
        <v>9</v>
      </c>
      <c r="C2306" s="2" t="str">
        <f>"1 (1)"</f>
        <v>1 (1)</v>
      </c>
      <c r="D2306" s="2" t="s">
        <v>7629</v>
      </c>
      <c r="E2306" s="5" t="s">
        <v>7630</v>
      </c>
      <c r="F2306" s="3" t="s">
        <v>7631</v>
      </c>
      <c r="G2306" s="3" t="s">
        <v>6821</v>
      </c>
      <c r="H2306" s="2" t="str">
        <f>"2013"</f>
        <v>2013</v>
      </c>
      <c r="I2306" t="s">
        <v>14</v>
      </c>
      <c r="J2306" t="s">
        <v>15</v>
      </c>
    </row>
    <row r="2307" spans="1:10">
      <c r="A2307" s="2" t="str">
        <f>"2304"</f>
        <v>2304</v>
      </c>
      <c r="B2307" s="2" t="s">
        <v>9</v>
      </c>
      <c r="C2307" s="2" t="str">
        <f>"1 (1)"</f>
        <v>1 (1)</v>
      </c>
      <c r="D2307" s="2" t="s">
        <v>7632</v>
      </c>
      <c r="E2307" s="5" t="s">
        <v>7633</v>
      </c>
      <c r="F2307" s="3" t="s">
        <v>7634</v>
      </c>
      <c r="G2307" s="3" t="s">
        <v>4781</v>
      </c>
      <c r="H2307" s="2" t="str">
        <f>"2013"</f>
        <v>2013</v>
      </c>
      <c r="I2307" t="s">
        <v>14</v>
      </c>
      <c r="J2307" t="s">
        <v>15</v>
      </c>
    </row>
    <row r="2308" spans="1:10">
      <c r="A2308" s="2" t="str">
        <f>"2305"</f>
        <v>2305</v>
      </c>
      <c r="B2308" s="2" t="s">
        <v>9</v>
      </c>
      <c r="C2308" s="2" t="str">
        <f>"1 (1)"</f>
        <v>1 (1)</v>
      </c>
      <c r="D2308" s="2" t="s">
        <v>7635</v>
      </c>
      <c r="E2308" s="5" t="s">
        <v>7636</v>
      </c>
      <c r="F2308" s="3" t="s">
        <v>7637</v>
      </c>
      <c r="G2308" s="3" t="s">
        <v>7403</v>
      </c>
      <c r="H2308" s="2" t="str">
        <f>"2012"</f>
        <v>2012</v>
      </c>
      <c r="I2308" t="s">
        <v>14</v>
      </c>
      <c r="J2308" t="s">
        <v>15</v>
      </c>
    </row>
    <row r="2309" spans="1:10">
      <c r="A2309" s="2" t="str">
        <f>"2306"</f>
        <v>2306</v>
      </c>
      <c r="B2309" s="2" t="s">
        <v>9</v>
      </c>
      <c r="C2309" s="2" t="str">
        <f>"1 (1)"</f>
        <v>1 (1)</v>
      </c>
      <c r="D2309" s="2" t="s">
        <v>7638</v>
      </c>
      <c r="E2309" s="5" t="s">
        <v>7639</v>
      </c>
      <c r="F2309" s="3" t="s">
        <v>7640</v>
      </c>
      <c r="G2309" s="3" t="s">
        <v>7403</v>
      </c>
      <c r="H2309" s="2" t="str">
        <f>"2013"</f>
        <v>2013</v>
      </c>
      <c r="I2309" t="s">
        <v>14</v>
      </c>
      <c r="J2309" t="s">
        <v>15</v>
      </c>
    </row>
    <row r="2310" spans="1:10">
      <c r="A2310" s="2" t="str">
        <f>"2307"</f>
        <v>2307</v>
      </c>
      <c r="B2310" s="2" t="s">
        <v>9</v>
      </c>
      <c r="C2310" s="2" t="str">
        <f>"1 (1)"</f>
        <v>1 (1)</v>
      </c>
      <c r="D2310" s="2" t="s">
        <v>7641</v>
      </c>
      <c r="E2310" s="5" t="s">
        <v>7642</v>
      </c>
      <c r="F2310" s="3" t="s">
        <v>7643</v>
      </c>
      <c r="G2310" s="3" t="s">
        <v>7644</v>
      </c>
      <c r="H2310" s="2" t="str">
        <f>"2013"</f>
        <v>2013</v>
      </c>
      <c r="I2310" t="s">
        <v>14</v>
      </c>
      <c r="J2310" t="s">
        <v>15</v>
      </c>
    </row>
    <row r="2311" spans="1:10">
      <c r="A2311" s="2" t="str">
        <f>"2308"</f>
        <v>2308</v>
      </c>
      <c r="B2311" s="2" t="s">
        <v>9</v>
      </c>
      <c r="C2311" s="2" t="str">
        <f>"1 (1)"</f>
        <v>1 (1)</v>
      </c>
      <c r="D2311" s="2" t="s">
        <v>7645</v>
      </c>
      <c r="E2311" s="5" t="s">
        <v>7646</v>
      </c>
      <c r="F2311" s="3" t="s">
        <v>7647</v>
      </c>
      <c r="G2311" s="3" t="s">
        <v>968</v>
      </c>
      <c r="H2311" s="2" t="str">
        <f>"2013"</f>
        <v>2013</v>
      </c>
      <c r="I2311" t="s">
        <v>14</v>
      </c>
      <c r="J2311" t="s">
        <v>15</v>
      </c>
    </row>
    <row r="2312" spans="1:10">
      <c r="A2312" s="2" t="str">
        <f>"2309"</f>
        <v>2309</v>
      </c>
      <c r="B2312" s="2" t="s">
        <v>9</v>
      </c>
      <c r="C2312" s="2" t="str">
        <f>"1 (1)"</f>
        <v>1 (1)</v>
      </c>
      <c r="D2312" s="2" t="s">
        <v>7648</v>
      </c>
      <c r="E2312" s="5" t="s">
        <v>7649</v>
      </c>
      <c r="F2312" s="3" t="s">
        <v>7650</v>
      </c>
      <c r="G2312" s="3" t="s">
        <v>3504</v>
      </c>
      <c r="H2312" s="2" t="str">
        <f>"2013"</f>
        <v>2013</v>
      </c>
      <c r="I2312" t="s">
        <v>14</v>
      </c>
      <c r="J2312" t="s">
        <v>15</v>
      </c>
    </row>
    <row r="2313" spans="1:10">
      <c r="A2313" s="2" t="str">
        <f>"2310"</f>
        <v>2310</v>
      </c>
      <c r="B2313" s="2" t="s">
        <v>9</v>
      </c>
      <c r="C2313" s="2" t="str">
        <f>"1 (1)"</f>
        <v>1 (1)</v>
      </c>
      <c r="D2313" s="2" t="s">
        <v>7651</v>
      </c>
      <c r="E2313" s="5" t="s">
        <v>7652</v>
      </c>
      <c r="F2313" s="3" t="s">
        <v>7653</v>
      </c>
      <c r="G2313" s="3" t="s">
        <v>2421</v>
      </c>
      <c r="H2313" s="2" t="str">
        <f>"2013"</f>
        <v>2013</v>
      </c>
      <c r="I2313" t="s">
        <v>14</v>
      </c>
      <c r="J2313" t="s">
        <v>15</v>
      </c>
    </row>
    <row r="2314" spans="1:10">
      <c r="A2314" s="2" t="str">
        <f>"2311"</f>
        <v>2311</v>
      </c>
      <c r="B2314" s="2" t="s">
        <v>9</v>
      </c>
      <c r="C2314" s="2" t="str">
        <f>"1 (1)"</f>
        <v>1 (1)</v>
      </c>
      <c r="D2314" s="2" t="s">
        <v>7654</v>
      </c>
      <c r="E2314" s="5" t="s">
        <v>7655</v>
      </c>
      <c r="F2314" s="3" t="s">
        <v>7656</v>
      </c>
      <c r="G2314" s="3" t="s">
        <v>156</v>
      </c>
      <c r="H2314" s="2" t="str">
        <f>"2013"</f>
        <v>2013</v>
      </c>
      <c r="I2314" t="s">
        <v>14</v>
      </c>
      <c r="J2314" t="s">
        <v>15</v>
      </c>
    </row>
    <row r="2315" spans="1:10">
      <c r="A2315" s="2" t="str">
        <f>"2312"</f>
        <v>2312</v>
      </c>
      <c r="B2315" s="2" t="s">
        <v>9</v>
      </c>
      <c r="C2315" s="2" t="str">
        <f>"1 (1)"</f>
        <v>1 (1)</v>
      </c>
      <c r="D2315" s="2" t="s">
        <v>7657</v>
      </c>
      <c r="E2315" s="5" t="s">
        <v>7658</v>
      </c>
      <c r="F2315" s="3" t="s">
        <v>7659</v>
      </c>
      <c r="G2315" s="3" t="s">
        <v>3012</v>
      </c>
      <c r="H2315" s="2" t="str">
        <f>"2013"</f>
        <v>2013</v>
      </c>
      <c r="I2315" t="s">
        <v>14</v>
      </c>
      <c r="J2315" t="s">
        <v>15</v>
      </c>
    </row>
    <row r="2316" spans="1:10">
      <c r="A2316" s="2" t="str">
        <f>"2313"</f>
        <v>2313</v>
      </c>
      <c r="B2316" s="2" t="s">
        <v>9</v>
      </c>
      <c r="C2316" s="2" t="str">
        <f>"1 (1)"</f>
        <v>1 (1)</v>
      </c>
      <c r="D2316" s="2" t="s">
        <v>7660</v>
      </c>
      <c r="E2316" s="5" t="s">
        <v>7661</v>
      </c>
      <c r="F2316" s="3" t="s">
        <v>7662</v>
      </c>
      <c r="G2316" s="3" t="s">
        <v>669</v>
      </c>
      <c r="H2316" s="2" t="str">
        <f>"2013"</f>
        <v>2013</v>
      </c>
      <c r="I2316" t="s">
        <v>14</v>
      </c>
      <c r="J2316" t="s">
        <v>15</v>
      </c>
    </row>
    <row r="2317" spans="1:10">
      <c r="A2317" s="2" t="str">
        <f>"2314"</f>
        <v>2314</v>
      </c>
      <c r="B2317" s="2" t="s">
        <v>9</v>
      </c>
      <c r="C2317" s="2" t="str">
        <f>"1 (1)"</f>
        <v>1 (1)</v>
      </c>
      <c r="D2317" s="2" t="s">
        <v>7663</v>
      </c>
      <c r="E2317" s="5" t="s">
        <v>7664</v>
      </c>
      <c r="F2317" s="3" t="s">
        <v>7665</v>
      </c>
      <c r="G2317" s="3" t="s">
        <v>360</v>
      </c>
      <c r="H2317" s="2" t="str">
        <f>"2013"</f>
        <v>2013</v>
      </c>
      <c r="I2317" t="s">
        <v>14</v>
      </c>
      <c r="J2317" t="s">
        <v>15</v>
      </c>
    </row>
    <row r="2318" spans="1:10">
      <c r="A2318" s="2" t="str">
        <f>"2315"</f>
        <v>2315</v>
      </c>
      <c r="B2318" s="2" t="s">
        <v>9</v>
      </c>
      <c r="C2318" s="2" t="str">
        <f>"1 (1)"</f>
        <v>1 (1)</v>
      </c>
      <c r="D2318" s="2" t="s">
        <v>7666</v>
      </c>
      <c r="E2318" s="5" t="s">
        <v>7667</v>
      </c>
      <c r="F2318" s="3" t="s">
        <v>7668</v>
      </c>
      <c r="G2318" s="3" t="s">
        <v>7669</v>
      </c>
      <c r="H2318" s="2" t="str">
        <f>"2013"</f>
        <v>2013</v>
      </c>
      <c r="I2318" t="s">
        <v>14</v>
      </c>
      <c r="J2318" t="s">
        <v>15</v>
      </c>
    </row>
    <row r="2319" spans="1:10">
      <c r="A2319" s="2" t="str">
        <f>"2316"</f>
        <v>2316</v>
      </c>
      <c r="B2319" s="2" t="s">
        <v>9</v>
      </c>
      <c r="C2319" s="2" t="str">
        <f>"1 (1)"</f>
        <v>1 (1)</v>
      </c>
      <c r="D2319" s="2" t="s">
        <v>7670</v>
      </c>
      <c r="E2319" s="5" t="s">
        <v>7671</v>
      </c>
      <c r="F2319" s="3" t="s">
        <v>7668</v>
      </c>
      <c r="G2319" s="3" t="s">
        <v>7669</v>
      </c>
      <c r="H2319" s="2" t="str">
        <f>"2013"</f>
        <v>2013</v>
      </c>
      <c r="I2319" t="s">
        <v>14</v>
      </c>
      <c r="J2319" t="s">
        <v>15</v>
      </c>
    </row>
    <row r="2320" spans="1:10">
      <c r="A2320" s="2" t="str">
        <f>"2317"</f>
        <v>2317</v>
      </c>
      <c r="B2320" s="2" t="s">
        <v>9</v>
      </c>
      <c r="C2320" s="2" t="str">
        <f>"1 (1)"</f>
        <v>1 (1)</v>
      </c>
      <c r="D2320" s="2" t="s">
        <v>7672</v>
      </c>
      <c r="E2320" s="5" t="s">
        <v>7673</v>
      </c>
      <c r="F2320" s="3" t="s">
        <v>6768</v>
      </c>
      <c r="G2320" s="3" t="s">
        <v>6620</v>
      </c>
      <c r="H2320" s="2" t="str">
        <f>"2013"</f>
        <v>2013</v>
      </c>
      <c r="I2320" t="s">
        <v>14</v>
      </c>
      <c r="J2320" t="s">
        <v>15</v>
      </c>
    </row>
    <row r="2321" spans="1:10">
      <c r="A2321" s="2" t="str">
        <f>"2318"</f>
        <v>2318</v>
      </c>
      <c r="B2321" s="2" t="s">
        <v>9</v>
      </c>
      <c r="C2321" s="2" t="str">
        <f>"1 (1)"</f>
        <v>1 (1)</v>
      </c>
      <c r="D2321" s="2" t="s">
        <v>7674</v>
      </c>
      <c r="E2321" s="5" t="s">
        <v>7675</v>
      </c>
      <c r="F2321" s="3" t="s">
        <v>7676</v>
      </c>
      <c r="G2321" s="3" t="s">
        <v>3012</v>
      </c>
      <c r="H2321" s="2" t="str">
        <f>"2013"</f>
        <v>2013</v>
      </c>
      <c r="I2321" t="s">
        <v>14</v>
      </c>
      <c r="J2321" t="s">
        <v>15</v>
      </c>
    </row>
    <row r="2322" spans="1:10">
      <c r="A2322" s="2" t="str">
        <f>"2319"</f>
        <v>2319</v>
      </c>
      <c r="B2322" s="2" t="s">
        <v>9</v>
      </c>
      <c r="C2322" s="2" t="str">
        <f>"1 (1)"</f>
        <v>1 (1)</v>
      </c>
      <c r="D2322" s="2" t="s">
        <v>7677</v>
      </c>
      <c r="E2322" s="5" t="s">
        <v>7678</v>
      </c>
      <c r="F2322" s="3" t="s">
        <v>7679</v>
      </c>
      <c r="G2322" s="3" t="s">
        <v>7680</v>
      </c>
      <c r="H2322" s="2" t="str">
        <f>"2013"</f>
        <v>2013</v>
      </c>
      <c r="I2322" t="s">
        <v>14</v>
      </c>
      <c r="J2322" t="s">
        <v>15</v>
      </c>
    </row>
    <row r="2323" spans="1:10">
      <c r="A2323" s="2" t="str">
        <f>"2320"</f>
        <v>2320</v>
      </c>
      <c r="B2323" s="2" t="s">
        <v>9</v>
      </c>
      <c r="C2323" s="2" t="str">
        <f>"1 (1)"</f>
        <v>1 (1)</v>
      </c>
      <c r="D2323" s="2" t="s">
        <v>7681</v>
      </c>
      <c r="E2323" s="5" t="s">
        <v>7682</v>
      </c>
      <c r="F2323" s="3" t="s">
        <v>7683</v>
      </c>
      <c r="G2323" s="3" t="s">
        <v>7684</v>
      </c>
      <c r="H2323" s="2" t="str">
        <f>"2012"</f>
        <v>2012</v>
      </c>
      <c r="I2323" t="s">
        <v>14</v>
      </c>
      <c r="J2323" t="s">
        <v>15</v>
      </c>
    </row>
    <row r="2324" spans="1:10">
      <c r="A2324" s="2" t="str">
        <f>"2321"</f>
        <v>2321</v>
      </c>
      <c r="B2324" s="2" t="s">
        <v>9</v>
      </c>
      <c r="C2324" s="2" t="str">
        <f>"1 (1)"</f>
        <v>1 (1)</v>
      </c>
      <c r="D2324" s="2" t="s">
        <v>7685</v>
      </c>
      <c r="E2324" s="5" t="s">
        <v>7686</v>
      </c>
      <c r="F2324" s="3" t="s">
        <v>7687</v>
      </c>
      <c r="G2324" s="3" t="s">
        <v>659</v>
      </c>
      <c r="H2324" s="2" t="str">
        <f>"2013"</f>
        <v>2013</v>
      </c>
      <c r="I2324" t="s">
        <v>14</v>
      </c>
      <c r="J2324" t="s">
        <v>15</v>
      </c>
    </row>
    <row r="2325" spans="1:10">
      <c r="A2325" s="2" t="str">
        <f>"2322"</f>
        <v>2322</v>
      </c>
      <c r="B2325" s="2" t="s">
        <v>9</v>
      </c>
      <c r="C2325" s="2" t="str">
        <f>"1 (1)"</f>
        <v>1 (1)</v>
      </c>
      <c r="D2325" s="2" t="s">
        <v>7688</v>
      </c>
      <c r="E2325" s="5" t="s">
        <v>7689</v>
      </c>
      <c r="F2325" s="3" t="s">
        <v>7690</v>
      </c>
      <c r="G2325" s="3" t="s">
        <v>7214</v>
      </c>
      <c r="H2325" s="2" t="str">
        <f>"2013"</f>
        <v>2013</v>
      </c>
      <c r="I2325" t="s">
        <v>14</v>
      </c>
      <c r="J2325" t="s">
        <v>15</v>
      </c>
    </row>
    <row r="2326" spans="1:10">
      <c r="A2326" s="2" t="str">
        <f>"2323"</f>
        <v>2323</v>
      </c>
      <c r="B2326" s="2" t="s">
        <v>9</v>
      </c>
      <c r="C2326" s="2" t="str">
        <f>"1 (1)"</f>
        <v>1 (1)</v>
      </c>
      <c r="D2326" s="2" t="s">
        <v>7691</v>
      </c>
      <c r="E2326" s="5" t="s">
        <v>7692</v>
      </c>
      <c r="F2326" s="3" t="s">
        <v>7693</v>
      </c>
      <c r="G2326" s="3" t="s">
        <v>1010</v>
      </c>
      <c r="H2326" s="2" t="str">
        <f>"2013"</f>
        <v>2013</v>
      </c>
      <c r="I2326" t="s">
        <v>14</v>
      </c>
      <c r="J2326" t="s">
        <v>15</v>
      </c>
    </row>
    <row r="2327" spans="1:10">
      <c r="A2327" s="2" t="str">
        <f>"2324"</f>
        <v>2324</v>
      </c>
      <c r="B2327" s="2" t="s">
        <v>9</v>
      </c>
      <c r="C2327" s="2" t="str">
        <f>"1 (1)"</f>
        <v>1 (1)</v>
      </c>
      <c r="D2327" s="2" t="s">
        <v>7694</v>
      </c>
      <c r="E2327" s="5" t="s">
        <v>7695</v>
      </c>
      <c r="F2327" s="3" t="s">
        <v>7696</v>
      </c>
      <c r="G2327" s="3" t="s">
        <v>156</v>
      </c>
      <c r="H2327" s="2" t="str">
        <f>"2013"</f>
        <v>2013</v>
      </c>
      <c r="I2327" t="s">
        <v>14</v>
      </c>
      <c r="J2327" t="s">
        <v>15</v>
      </c>
    </row>
    <row r="2328" spans="1:10">
      <c r="A2328" s="2" t="str">
        <f>"2325"</f>
        <v>2325</v>
      </c>
      <c r="B2328" s="2" t="s">
        <v>9</v>
      </c>
      <c r="C2328" s="2" t="str">
        <f>"1 (1)"</f>
        <v>1 (1)</v>
      </c>
      <c r="D2328" s="2" t="s">
        <v>7697</v>
      </c>
      <c r="E2328" s="5" t="s">
        <v>7698</v>
      </c>
      <c r="F2328" s="3" t="s">
        <v>7699</v>
      </c>
      <c r="G2328" s="3" t="s">
        <v>156</v>
      </c>
      <c r="H2328" s="2" t="str">
        <f>"2013"</f>
        <v>2013</v>
      </c>
      <c r="I2328" t="s">
        <v>14</v>
      </c>
      <c r="J2328" t="s">
        <v>15</v>
      </c>
    </row>
    <row r="2329" spans="1:10">
      <c r="A2329" s="2" t="str">
        <f>"2326"</f>
        <v>2326</v>
      </c>
      <c r="B2329" s="2" t="s">
        <v>9</v>
      </c>
      <c r="C2329" s="2" t="str">
        <f>"1 (1)"</f>
        <v>1 (1)</v>
      </c>
      <c r="D2329" s="2" t="s">
        <v>7700</v>
      </c>
      <c r="E2329" s="5" t="s">
        <v>7701</v>
      </c>
      <c r="F2329" s="3" t="s">
        <v>1036</v>
      </c>
      <c r="G2329" s="3" t="s">
        <v>7560</v>
      </c>
      <c r="H2329" s="2" t="str">
        <f>"2013"</f>
        <v>2013</v>
      </c>
      <c r="I2329" t="s">
        <v>14</v>
      </c>
      <c r="J2329" t="s">
        <v>15</v>
      </c>
    </row>
    <row r="2330" spans="1:10">
      <c r="A2330" s="2" t="str">
        <f>"2327"</f>
        <v>2327</v>
      </c>
      <c r="B2330" s="2" t="s">
        <v>9</v>
      </c>
      <c r="C2330" s="2" t="str">
        <f>"1 (1)"</f>
        <v>1 (1)</v>
      </c>
      <c r="D2330" s="2" t="s">
        <v>7702</v>
      </c>
      <c r="E2330" s="5" t="s">
        <v>7703</v>
      </c>
      <c r="F2330" s="3" t="s">
        <v>7704</v>
      </c>
      <c r="G2330" s="3" t="s">
        <v>6578</v>
      </c>
      <c r="H2330" s="2" t="str">
        <f>"2013"</f>
        <v>2013</v>
      </c>
      <c r="I2330" t="s">
        <v>14</v>
      </c>
      <c r="J2330" t="s">
        <v>15</v>
      </c>
    </row>
    <row r="2331" spans="1:10">
      <c r="A2331" s="2" t="str">
        <f>"2328"</f>
        <v>2328</v>
      </c>
      <c r="B2331" s="2" t="s">
        <v>9</v>
      </c>
      <c r="C2331" s="2" t="str">
        <f>"1 (1)"</f>
        <v>1 (1)</v>
      </c>
      <c r="D2331" s="2" t="s">
        <v>7705</v>
      </c>
      <c r="E2331" s="5" t="s">
        <v>7706</v>
      </c>
      <c r="F2331" s="3" t="s">
        <v>7372</v>
      </c>
      <c r="G2331" s="3" t="s">
        <v>4222</v>
      </c>
      <c r="H2331" s="2" t="str">
        <f>"2013"</f>
        <v>2013</v>
      </c>
      <c r="I2331" t="s">
        <v>14</v>
      </c>
      <c r="J2331" t="s">
        <v>15</v>
      </c>
    </row>
    <row r="2332" spans="1:10">
      <c r="A2332" s="2" t="str">
        <f>"2329"</f>
        <v>2329</v>
      </c>
      <c r="B2332" s="2" t="s">
        <v>9</v>
      </c>
      <c r="C2332" s="2" t="str">
        <f>"1 (1)"</f>
        <v>1 (1)</v>
      </c>
      <c r="D2332" s="2" t="s">
        <v>7707</v>
      </c>
      <c r="E2332" s="5" t="s">
        <v>7708</v>
      </c>
      <c r="F2332" s="3" t="s">
        <v>7709</v>
      </c>
      <c r="G2332" s="3" t="s">
        <v>7710</v>
      </c>
      <c r="H2332" s="2" t="str">
        <f>"2013"</f>
        <v>2013</v>
      </c>
      <c r="I2332" t="s">
        <v>14</v>
      </c>
      <c r="J2332" t="s">
        <v>15</v>
      </c>
    </row>
    <row r="2333" spans="1:10">
      <c r="A2333" s="2" t="str">
        <f>"2330"</f>
        <v>2330</v>
      </c>
      <c r="B2333" s="2" t="s">
        <v>9</v>
      </c>
      <c r="C2333" s="2" t="str">
        <f>"1 (1)"</f>
        <v>1 (1)</v>
      </c>
      <c r="D2333" s="2" t="s">
        <v>7711</v>
      </c>
      <c r="E2333" s="5" t="s">
        <v>7712</v>
      </c>
      <c r="F2333" s="3" t="s">
        <v>7713</v>
      </c>
      <c r="G2333" s="3" t="s">
        <v>7710</v>
      </c>
      <c r="H2333" s="2" t="str">
        <f>"2013"</f>
        <v>2013</v>
      </c>
      <c r="I2333" t="s">
        <v>14</v>
      </c>
      <c r="J2333" t="s">
        <v>15</v>
      </c>
    </row>
    <row r="2334" spans="1:10">
      <c r="A2334" s="2" t="str">
        <f>"2331"</f>
        <v>2331</v>
      </c>
      <c r="B2334" s="2" t="s">
        <v>9</v>
      </c>
      <c r="C2334" s="2" t="str">
        <f>"1 (1)"</f>
        <v>1 (1)</v>
      </c>
      <c r="D2334" s="2" t="s">
        <v>7714</v>
      </c>
      <c r="E2334" s="5" t="s">
        <v>7715</v>
      </c>
      <c r="F2334" s="3" t="s">
        <v>7716</v>
      </c>
      <c r="G2334" s="3" t="s">
        <v>156</v>
      </c>
      <c r="H2334" s="2" t="str">
        <f>"2013"</f>
        <v>2013</v>
      </c>
      <c r="I2334" t="s">
        <v>14</v>
      </c>
      <c r="J2334" t="s">
        <v>15</v>
      </c>
    </row>
    <row r="2335" spans="1:10">
      <c r="A2335" s="2" t="str">
        <f>"2332"</f>
        <v>2332</v>
      </c>
      <c r="B2335" s="2" t="s">
        <v>9</v>
      </c>
      <c r="C2335" s="2" t="str">
        <f>"1 (1)"</f>
        <v>1 (1)</v>
      </c>
      <c r="D2335" s="2" t="s">
        <v>7717</v>
      </c>
      <c r="E2335" s="5" t="s">
        <v>7718</v>
      </c>
      <c r="F2335" s="3" t="s">
        <v>7719</v>
      </c>
      <c r="G2335" s="3" t="s">
        <v>7720</v>
      </c>
      <c r="H2335" s="2" t="str">
        <f>"2013"</f>
        <v>2013</v>
      </c>
      <c r="I2335" t="s">
        <v>14</v>
      </c>
      <c r="J2335" t="s">
        <v>15</v>
      </c>
    </row>
    <row r="2336" spans="1:10">
      <c r="A2336" s="2" t="str">
        <f>"2333"</f>
        <v>2333</v>
      </c>
      <c r="B2336" s="2" t="s">
        <v>9</v>
      </c>
      <c r="C2336" s="2" t="str">
        <f>"1 (1)"</f>
        <v>1 (1)</v>
      </c>
      <c r="D2336" s="2" t="s">
        <v>7721</v>
      </c>
      <c r="E2336" s="5" t="s">
        <v>7722</v>
      </c>
      <c r="F2336" s="3" t="s">
        <v>7723</v>
      </c>
      <c r="G2336" s="3" t="s">
        <v>7724</v>
      </c>
      <c r="H2336" s="2" t="str">
        <f>"2013"</f>
        <v>2013</v>
      </c>
      <c r="I2336" t="s">
        <v>14</v>
      </c>
      <c r="J2336" t="s">
        <v>15</v>
      </c>
    </row>
    <row r="2337" spans="1:10">
      <c r="A2337" s="2" t="str">
        <f>"2334"</f>
        <v>2334</v>
      </c>
      <c r="B2337" s="2" t="s">
        <v>9</v>
      </c>
      <c r="C2337" s="2" t="str">
        <f>"1 (1)"</f>
        <v>1 (1)</v>
      </c>
      <c r="D2337" s="2" t="s">
        <v>7725</v>
      </c>
      <c r="E2337" s="5" t="s">
        <v>7726</v>
      </c>
      <c r="F2337" s="3" t="s">
        <v>7727</v>
      </c>
      <c r="G2337" s="3" t="s">
        <v>7379</v>
      </c>
      <c r="H2337" s="2" t="str">
        <f>"2013"</f>
        <v>2013</v>
      </c>
      <c r="I2337" t="s">
        <v>14</v>
      </c>
      <c r="J2337" t="s">
        <v>15</v>
      </c>
    </row>
    <row r="2338" spans="1:10">
      <c r="A2338" s="2" t="str">
        <f>"2335"</f>
        <v>2335</v>
      </c>
      <c r="B2338" s="2" t="s">
        <v>9</v>
      </c>
      <c r="C2338" s="2" t="str">
        <f>"1 (1)"</f>
        <v>1 (1)</v>
      </c>
      <c r="D2338" s="2" t="s">
        <v>7728</v>
      </c>
      <c r="E2338" s="5" t="s">
        <v>7729</v>
      </c>
      <c r="F2338" s="3" t="s">
        <v>7730</v>
      </c>
      <c r="G2338" s="3" t="s">
        <v>3012</v>
      </c>
      <c r="H2338" s="2" t="str">
        <f>"2013"</f>
        <v>2013</v>
      </c>
      <c r="I2338" t="s">
        <v>14</v>
      </c>
      <c r="J2338" t="s">
        <v>15</v>
      </c>
    </row>
    <row r="2339" spans="1:10">
      <c r="A2339" s="2" t="str">
        <f>"2336"</f>
        <v>2336</v>
      </c>
      <c r="B2339" s="2" t="s">
        <v>9</v>
      </c>
      <c r="C2339" s="2" t="str">
        <f>"1 (1)"</f>
        <v>1 (1)</v>
      </c>
      <c r="D2339" s="2" t="s">
        <v>7731</v>
      </c>
      <c r="E2339" s="5" t="s">
        <v>7732</v>
      </c>
      <c r="F2339" s="3" t="s">
        <v>7733</v>
      </c>
      <c r="G2339" s="3" t="s">
        <v>1293</v>
      </c>
      <c r="H2339" s="2" t="str">
        <f>"2013"</f>
        <v>2013</v>
      </c>
      <c r="I2339" t="s">
        <v>14</v>
      </c>
      <c r="J2339" t="s">
        <v>15</v>
      </c>
    </row>
    <row r="2340" spans="1:10">
      <c r="A2340" s="2" t="str">
        <f>"2337"</f>
        <v>2337</v>
      </c>
      <c r="B2340" s="2" t="s">
        <v>9</v>
      </c>
      <c r="C2340" s="2" t="str">
        <f>"1 (1)"</f>
        <v>1 (1)</v>
      </c>
      <c r="D2340" s="2" t="s">
        <v>7734</v>
      </c>
      <c r="E2340" s="5" t="s">
        <v>7735</v>
      </c>
      <c r="F2340" s="3" t="s">
        <v>7736</v>
      </c>
      <c r="G2340" s="3" t="s">
        <v>7413</v>
      </c>
      <c r="H2340" s="2" t="str">
        <f>"2013"</f>
        <v>2013</v>
      </c>
      <c r="I2340" t="s">
        <v>14</v>
      </c>
      <c r="J2340" t="s">
        <v>15</v>
      </c>
    </row>
    <row r="2341" spans="1:10">
      <c r="A2341" s="2" t="str">
        <f>"2338"</f>
        <v>2338</v>
      </c>
      <c r="B2341" s="2" t="s">
        <v>9</v>
      </c>
      <c r="C2341" s="2" t="str">
        <f>"1 (1)"</f>
        <v>1 (1)</v>
      </c>
      <c r="D2341" s="2" t="s">
        <v>7737</v>
      </c>
      <c r="E2341" s="5" t="s">
        <v>7738</v>
      </c>
      <c r="F2341" s="3" t="s">
        <v>7739</v>
      </c>
      <c r="G2341" s="3" t="s">
        <v>1754</v>
      </c>
      <c r="H2341" s="2" t="str">
        <f>"2013"</f>
        <v>2013</v>
      </c>
      <c r="I2341" t="s">
        <v>14</v>
      </c>
      <c r="J2341" t="s">
        <v>15</v>
      </c>
    </row>
    <row r="2342" spans="1:10">
      <c r="A2342" s="2" t="str">
        <f>"2339"</f>
        <v>2339</v>
      </c>
      <c r="B2342" s="2" t="s">
        <v>9</v>
      </c>
      <c r="C2342" s="2" t="str">
        <f>"1 (1)"</f>
        <v>1 (1)</v>
      </c>
      <c r="D2342" s="2" t="s">
        <v>7740</v>
      </c>
      <c r="E2342" s="5" t="s">
        <v>7741</v>
      </c>
      <c r="F2342" s="3" t="s">
        <v>7742</v>
      </c>
      <c r="G2342" s="3" t="s">
        <v>7743</v>
      </c>
      <c r="H2342" s="2" t="str">
        <f>"2013"</f>
        <v>2013</v>
      </c>
      <c r="I2342" t="s">
        <v>14</v>
      </c>
      <c r="J2342" t="s">
        <v>15</v>
      </c>
    </row>
    <row r="2343" spans="1:10">
      <c r="A2343" s="2" t="str">
        <f>"2340"</f>
        <v>2340</v>
      </c>
      <c r="B2343" s="2" t="s">
        <v>9</v>
      </c>
      <c r="C2343" s="2" t="str">
        <f>"1 (1)"</f>
        <v>1 (1)</v>
      </c>
      <c r="D2343" s="2" t="s">
        <v>7744</v>
      </c>
      <c r="E2343" s="5" t="s">
        <v>7745</v>
      </c>
      <c r="F2343" s="3" t="s">
        <v>7746</v>
      </c>
      <c r="G2343" s="3" t="s">
        <v>126</v>
      </c>
      <c r="H2343" s="2" t="str">
        <f>"2013"</f>
        <v>2013</v>
      </c>
      <c r="I2343" t="s">
        <v>14</v>
      </c>
      <c r="J2343" t="s">
        <v>15</v>
      </c>
    </row>
    <row r="2344" spans="1:10">
      <c r="A2344" s="2" t="str">
        <f>"2341"</f>
        <v>2341</v>
      </c>
      <c r="B2344" s="2" t="s">
        <v>9</v>
      </c>
      <c r="C2344" s="2" t="str">
        <f>"1 (1)"</f>
        <v>1 (1)</v>
      </c>
      <c r="D2344" s="2" t="s">
        <v>7747</v>
      </c>
      <c r="E2344" s="5" t="s">
        <v>7748</v>
      </c>
      <c r="F2344" s="3" t="s">
        <v>7749</v>
      </c>
      <c r="G2344" s="3" t="s">
        <v>6609</v>
      </c>
      <c r="H2344" s="2" t="str">
        <f>"2013"</f>
        <v>2013</v>
      </c>
      <c r="I2344" t="s">
        <v>14</v>
      </c>
      <c r="J2344" t="s">
        <v>15</v>
      </c>
    </row>
    <row r="2345" spans="1:10">
      <c r="A2345" s="2" t="str">
        <f>"2342"</f>
        <v>2342</v>
      </c>
      <c r="B2345" s="2" t="s">
        <v>9</v>
      </c>
      <c r="C2345" s="2" t="str">
        <f>"1 (1)"</f>
        <v>1 (1)</v>
      </c>
      <c r="D2345" s="2" t="s">
        <v>7750</v>
      </c>
      <c r="E2345" s="5" t="s">
        <v>7751</v>
      </c>
      <c r="F2345" s="3" t="s">
        <v>7752</v>
      </c>
      <c r="G2345" s="3" t="s">
        <v>6578</v>
      </c>
      <c r="H2345" s="2" t="str">
        <f>"2013"</f>
        <v>2013</v>
      </c>
      <c r="I2345" t="s">
        <v>14</v>
      </c>
      <c r="J2345" t="s">
        <v>15</v>
      </c>
    </row>
    <row r="2346" spans="1:10">
      <c r="A2346" s="2" t="str">
        <f>"2343"</f>
        <v>2343</v>
      </c>
      <c r="B2346" s="2" t="s">
        <v>9</v>
      </c>
      <c r="C2346" s="2" t="str">
        <f>"1 (1)"</f>
        <v>1 (1)</v>
      </c>
      <c r="D2346" s="2" t="s">
        <v>7753</v>
      </c>
      <c r="E2346" s="5" t="s">
        <v>7754</v>
      </c>
      <c r="F2346" s="3" t="s">
        <v>7755</v>
      </c>
      <c r="G2346" s="3" t="s">
        <v>6988</v>
      </c>
      <c r="H2346" s="2" t="str">
        <f>"2013"</f>
        <v>2013</v>
      </c>
      <c r="I2346" t="s">
        <v>14</v>
      </c>
      <c r="J2346" t="s">
        <v>15</v>
      </c>
    </row>
    <row r="2347" spans="1:10">
      <c r="A2347" s="2" t="str">
        <f>"2344"</f>
        <v>2344</v>
      </c>
      <c r="B2347" s="2" t="s">
        <v>9</v>
      </c>
      <c r="C2347" s="2" t="str">
        <f>"1 (1)"</f>
        <v>1 (1)</v>
      </c>
      <c r="D2347" s="2" t="s">
        <v>7756</v>
      </c>
      <c r="E2347" s="5" t="s">
        <v>7757</v>
      </c>
      <c r="F2347" s="3" t="s">
        <v>7758</v>
      </c>
      <c r="G2347" s="3" t="s">
        <v>2954</v>
      </c>
      <c r="H2347" s="2" t="str">
        <f>"2013"</f>
        <v>2013</v>
      </c>
      <c r="I2347" t="s">
        <v>14</v>
      </c>
      <c r="J2347" t="s">
        <v>15</v>
      </c>
    </row>
    <row r="2348" spans="1:10">
      <c r="A2348" s="2" t="str">
        <f>"2345"</f>
        <v>2345</v>
      </c>
      <c r="B2348" s="2" t="s">
        <v>9</v>
      </c>
      <c r="C2348" s="2" t="str">
        <f>"1 (1)"</f>
        <v>1 (1)</v>
      </c>
      <c r="D2348" s="2" t="s">
        <v>7759</v>
      </c>
      <c r="E2348" s="5" t="s">
        <v>7760</v>
      </c>
      <c r="F2348" s="3" t="s">
        <v>7761</v>
      </c>
      <c r="G2348" s="3" t="s">
        <v>360</v>
      </c>
      <c r="H2348" s="2" t="str">
        <f>"2013"</f>
        <v>2013</v>
      </c>
      <c r="I2348" t="s">
        <v>14</v>
      </c>
      <c r="J2348" t="s">
        <v>15</v>
      </c>
    </row>
    <row r="2349" spans="1:10">
      <c r="A2349" s="2" t="str">
        <f>"2346"</f>
        <v>2346</v>
      </c>
      <c r="B2349" s="2" t="s">
        <v>9</v>
      </c>
      <c r="C2349" s="2" t="str">
        <f>"1 (1)"</f>
        <v>1 (1)</v>
      </c>
      <c r="D2349" s="2" t="s">
        <v>7762</v>
      </c>
      <c r="E2349" s="5" t="s">
        <v>7763</v>
      </c>
      <c r="F2349" s="3" t="s">
        <v>7764</v>
      </c>
      <c r="G2349" s="3" t="s">
        <v>7765</v>
      </c>
      <c r="H2349" s="2" t="str">
        <f>"2012"</f>
        <v>2012</v>
      </c>
      <c r="I2349" t="s">
        <v>14</v>
      </c>
      <c r="J2349" t="s">
        <v>15</v>
      </c>
    </row>
    <row r="2350" spans="1:10">
      <c r="A2350" s="2" t="str">
        <f>"2347"</f>
        <v>2347</v>
      </c>
      <c r="B2350" s="2" t="s">
        <v>9</v>
      </c>
      <c r="C2350" s="2" t="str">
        <f>"1 (1)"</f>
        <v>1 (1)</v>
      </c>
      <c r="D2350" s="2" t="s">
        <v>7766</v>
      </c>
      <c r="E2350" s="5" t="s">
        <v>7138</v>
      </c>
      <c r="F2350" s="3" t="s">
        <v>7139</v>
      </c>
      <c r="G2350" s="3" t="s">
        <v>1010</v>
      </c>
      <c r="H2350" s="2" t="str">
        <f>"2012"</f>
        <v>2012</v>
      </c>
      <c r="I2350" t="s">
        <v>14</v>
      </c>
      <c r="J2350" t="s">
        <v>15</v>
      </c>
    </row>
    <row r="2351" spans="1:10">
      <c r="A2351" s="2" t="str">
        <f>"2348"</f>
        <v>2348</v>
      </c>
      <c r="B2351" s="2" t="s">
        <v>9</v>
      </c>
      <c r="C2351" s="2" t="str">
        <f>"1 (1)"</f>
        <v>1 (1)</v>
      </c>
      <c r="D2351" s="2" t="s">
        <v>7767</v>
      </c>
      <c r="E2351" s="5" t="s">
        <v>7768</v>
      </c>
      <c r="F2351" s="3" t="s">
        <v>7769</v>
      </c>
      <c r="G2351" s="3" t="s">
        <v>6859</v>
      </c>
      <c r="H2351" s="2" t="str">
        <f>"2012"</f>
        <v>2012</v>
      </c>
      <c r="I2351" t="s">
        <v>14</v>
      </c>
      <c r="J2351" t="s">
        <v>15</v>
      </c>
    </row>
    <row r="2352" spans="1:10">
      <c r="A2352" s="2" t="str">
        <f>"2349"</f>
        <v>2349</v>
      </c>
      <c r="B2352" s="2" t="s">
        <v>9</v>
      </c>
      <c r="C2352" s="2" t="str">
        <f>"1 (1)"</f>
        <v>1 (1)</v>
      </c>
      <c r="D2352" s="2" t="s">
        <v>7770</v>
      </c>
      <c r="E2352" s="5" t="s">
        <v>7771</v>
      </c>
      <c r="F2352" s="3" t="s">
        <v>7772</v>
      </c>
      <c r="G2352" s="3" t="s">
        <v>1624</v>
      </c>
      <c r="H2352" s="2" t="str">
        <f>"2013"</f>
        <v>2013</v>
      </c>
      <c r="I2352" t="s">
        <v>14</v>
      </c>
      <c r="J2352" t="s">
        <v>15</v>
      </c>
    </row>
    <row r="2353" spans="1:10">
      <c r="A2353" s="2" t="str">
        <f>"2350"</f>
        <v>2350</v>
      </c>
      <c r="B2353" s="2" t="s">
        <v>9</v>
      </c>
      <c r="C2353" s="2" t="str">
        <f>"1 (1)"</f>
        <v>1 (1)</v>
      </c>
      <c r="D2353" s="2" t="s">
        <v>7773</v>
      </c>
      <c r="E2353" s="5" t="s">
        <v>7774</v>
      </c>
      <c r="F2353" s="3" t="s">
        <v>7775</v>
      </c>
      <c r="G2353" s="3" t="s">
        <v>62</v>
      </c>
      <c r="H2353" s="2" t="str">
        <f>"2013"</f>
        <v>2013</v>
      </c>
      <c r="I2353" t="s">
        <v>14</v>
      </c>
      <c r="J2353" t="s">
        <v>15</v>
      </c>
    </row>
    <row r="2354" spans="1:10">
      <c r="A2354" s="2" t="str">
        <f>"2351"</f>
        <v>2351</v>
      </c>
      <c r="B2354" s="2" t="s">
        <v>9</v>
      </c>
      <c r="C2354" s="2" t="str">
        <f>"1 (1)"</f>
        <v>1 (1)</v>
      </c>
      <c r="D2354" s="2" t="s">
        <v>7776</v>
      </c>
      <c r="E2354" s="5" t="s">
        <v>7777</v>
      </c>
      <c r="F2354" s="3" t="s">
        <v>7778</v>
      </c>
      <c r="G2354" s="3" t="s">
        <v>2297</v>
      </c>
      <c r="H2354" s="2" t="str">
        <f>"2013"</f>
        <v>2013</v>
      </c>
      <c r="I2354" t="s">
        <v>14</v>
      </c>
      <c r="J2354" t="s">
        <v>15</v>
      </c>
    </row>
    <row r="2355" spans="1:10">
      <c r="A2355" s="2" t="str">
        <f>"2352"</f>
        <v>2352</v>
      </c>
      <c r="B2355" s="2" t="s">
        <v>9</v>
      </c>
      <c r="C2355" s="2" t="str">
        <f>"1 (1)"</f>
        <v>1 (1)</v>
      </c>
      <c r="D2355" s="2" t="s">
        <v>7779</v>
      </c>
      <c r="E2355" s="5" t="s">
        <v>7780</v>
      </c>
      <c r="F2355" s="3" t="s">
        <v>7781</v>
      </c>
      <c r="G2355" s="3" t="s">
        <v>1010</v>
      </c>
      <c r="H2355" s="2" t="str">
        <f>"2013"</f>
        <v>2013</v>
      </c>
      <c r="I2355" t="s">
        <v>14</v>
      </c>
      <c r="J2355" t="s">
        <v>15</v>
      </c>
    </row>
    <row r="2356" spans="1:10">
      <c r="A2356" s="2" t="str">
        <f>"2353"</f>
        <v>2353</v>
      </c>
      <c r="B2356" s="2" t="s">
        <v>9</v>
      </c>
      <c r="C2356" s="2" t="str">
        <f>"1 (1)"</f>
        <v>1 (1)</v>
      </c>
      <c r="D2356" s="2" t="s">
        <v>7782</v>
      </c>
      <c r="E2356" s="5" t="s">
        <v>7783</v>
      </c>
      <c r="F2356" s="3" t="s">
        <v>7784</v>
      </c>
      <c r="G2356" s="3" t="s">
        <v>7785</v>
      </c>
      <c r="H2356" s="2" t="str">
        <f>"2009"</f>
        <v>2009</v>
      </c>
      <c r="I2356" t="s">
        <v>14</v>
      </c>
      <c r="J2356" t="s">
        <v>15</v>
      </c>
    </row>
    <row r="2357" spans="1:10">
      <c r="A2357" s="2" t="str">
        <f>"2354"</f>
        <v>2354</v>
      </c>
      <c r="B2357" s="2" t="s">
        <v>9</v>
      </c>
      <c r="C2357" s="2" t="str">
        <f>"1 (1)"</f>
        <v>1 (1)</v>
      </c>
      <c r="D2357" s="2" t="s">
        <v>7786</v>
      </c>
      <c r="E2357" s="5" t="s">
        <v>7787</v>
      </c>
      <c r="F2357" s="3" t="s">
        <v>7788</v>
      </c>
      <c r="G2357" s="3" t="s">
        <v>936</v>
      </c>
      <c r="H2357" s="2" t="str">
        <f>"2013"</f>
        <v>2013</v>
      </c>
      <c r="I2357" t="s">
        <v>14</v>
      </c>
      <c r="J2357" t="s">
        <v>15</v>
      </c>
    </row>
    <row r="2358" spans="1:10">
      <c r="A2358" s="2" t="str">
        <f>"2355"</f>
        <v>2355</v>
      </c>
      <c r="B2358" s="2" t="s">
        <v>9</v>
      </c>
      <c r="C2358" s="2" t="str">
        <f>"1 (1)"</f>
        <v>1 (1)</v>
      </c>
      <c r="D2358" s="2" t="s">
        <v>7789</v>
      </c>
      <c r="E2358" s="5" t="s">
        <v>7790</v>
      </c>
      <c r="F2358" s="3" t="s">
        <v>7791</v>
      </c>
      <c r="G2358" s="3" t="s">
        <v>2405</v>
      </c>
      <c r="H2358" s="2" t="str">
        <f>"2013"</f>
        <v>2013</v>
      </c>
      <c r="I2358" t="s">
        <v>14</v>
      </c>
      <c r="J2358" t="s">
        <v>15</v>
      </c>
    </row>
    <row r="2359" spans="1:10">
      <c r="A2359" s="2" t="str">
        <f>"2356"</f>
        <v>2356</v>
      </c>
      <c r="B2359" s="2" t="s">
        <v>9</v>
      </c>
      <c r="C2359" s="2" t="str">
        <f>"1 (1)"</f>
        <v>1 (1)</v>
      </c>
      <c r="D2359" s="2" t="s">
        <v>7792</v>
      </c>
      <c r="E2359" s="5" t="s">
        <v>7793</v>
      </c>
      <c r="F2359" s="3" t="s">
        <v>7794</v>
      </c>
      <c r="G2359" s="3" t="s">
        <v>3012</v>
      </c>
      <c r="H2359" s="2" t="str">
        <f>"2013"</f>
        <v>2013</v>
      </c>
      <c r="I2359" t="s">
        <v>14</v>
      </c>
      <c r="J2359" t="s">
        <v>15</v>
      </c>
    </row>
    <row r="2360" spans="1:10">
      <c r="A2360" s="2" t="str">
        <f>"2357"</f>
        <v>2357</v>
      </c>
      <c r="B2360" s="2" t="s">
        <v>9</v>
      </c>
      <c r="C2360" s="2" t="str">
        <f>"1 (1)"</f>
        <v>1 (1)</v>
      </c>
      <c r="D2360" s="2" t="s">
        <v>7795</v>
      </c>
      <c r="E2360" s="5" t="s">
        <v>7796</v>
      </c>
      <c r="F2360" s="3" t="s">
        <v>7797</v>
      </c>
      <c r="G2360" s="3" t="s">
        <v>3766</v>
      </c>
      <c r="H2360" s="2" t="str">
        <f>"2013"</f>
        <v>2013</v>
      </c>
      <c r="I2360" t="s">
        <v>14</v>
      </c>
      <c r="J2360" t="s">
        <v>15</v>
      </c>
    </row>
    <row r="2361" spans="1:10">
      <c r="A2361" s="2" t="str">
        <f>"2358"</f>
        <v>2358</v>
      </c>
      <c r="B2361" s="2" t="s">
        <v>9</v>
      </c>
      <c r="C2361" s="2" t="str">
        <f>"1 (1)"</f>
        <v>1 (1)</v>
      </c>
      <c r="D2361" s="2" t="s">
        <v>7798</v>
      </c>
      <c r="E2361" s="5" t="s">
        <v>4375</v>
      </c>
      <c r="F2361" s="3" t="s">
        <v>4376</v>
      </c>
      <c r="G2361" s="3" t="s">
        <v>3945</v>
      </c>
      <c r="H2361" s="2" t="str">
        <f>"2013"</f>
        <v>2013</v>
      </c>
      <c r="I2361" t="s">
        <v>14</v>
      </c>
      <c r="J2361" t="s">
        <v>15</v>
      </c>
    </row>
    <row r="2362" spans="1:10">
      <c r="A2362" s="2" t="str">
        <f>"2359"</f>
        <v>2359</v>
      </c>
      <c r="B2362" s="2" t="s">
        <v>9</v>
      </c>
      <c r="C2362" s="2" t="str">
        <f>"1 (1)"</f>
        <v>1 (1)</v>
      </c>
      <c r="D2362" s="2" t="s">
        <v>7799</v>
      </c>
      <c r="E2362" s="5" t="s">
        <v>7800</v>
      </c>
      <c r="F2362" s="3" t="s">
        <v>6158</v>
      </c>
      <c r="G2362" s="3" t="s">
        <v>2504</v>
      </c>
      <c r="H2362" s="2" t="str">
        <f>"2012"</f>
        <v>2012</v>
      </c>
      <c r="I2362" t="s">
        <v>14</v>
      </c>
      <c r="J2362" t="s">
        <v>15</v>
      </c>
    </row>
    <row r="2363" spans="1:10">
      <c r="A2363" s="2" t="str">
        <f>"2360"</f>
        <v>2360</v>
      </c>
      <c r="B2363" s="2" t="s">
        <v>9</v>
      </c>
      <c r="C2363" s="2" t="str">
        <f>"1 (1)"</f>
        <v>1 (1)</v>
      </c>
      <c r="D2363" s="2" t="s">
        <v>7801</v>
      </c>
      <c r="E2363" s="5" t="s">
        <v>7802</v>
      </c>
      <c r="F2363" s="3" t="s">
        <v>7803</v>
      </c>
      <c r="G2363" s="3" t="s">
        <v>4781</v>
      </c>
      <c r="H2363" s="2" t="str">
        <f>"2013"</f>
        <v>2013</v>
      </c>
      <c r="I2363" t="s">
        <v>14</v>
      </c>
      <c r="J2363" t="s">
        <v>15</v>
      </c>
    </row>
    <row r="2364" spans="1:10">
      <c r="A2364" s="2" t="str">
        <f>"2361"</f>
        <v>2361</v>
      </c>
      <c r="B2364" s="2" t="s">
        <v>9</v>
      </c>
      <c r="C2364" s="2" t="str">
        <f>"1 (1)"</f>
        <v>1 (1)</v>
      </c>
      <c r="D2364" s="2" t="s">
        <v>7804</v>
      </c>
      <c r="E2364" s="5" t="s">
        <v>7805</v>
      </c>
      <c r="F2364" s="3" t="s">
        <v>7806</v>
      </c>
      <c r="G2364" s="3" t="s">
        <v>4678</v>
      </c>
      <c r="H2364" s="2" t="str">
        <f>"2008"</f>
        <v>2008</v>
      </c>
      <c r="I2364" t="s">
        <v>14</v>
      </c>
      <c r="J2364" t="s">
        <v>15</v>
      </c>
    </row>
    <row r="2365" spans="1:10">
      <c r="A2365" s="2" t="str">
        <f>"2362"</f>
        <v>2362</v>
      </c>
      <c r="B2365" s="2" t="s">
        <v>9</v>
      </c>
      <c r="C2365" s="2" t="str">
        <f>"1 (1)"</f>
        <v>1 (1)</v>
      </c>
      <c r="D2365" s="2" t="s">
        <v>7807</v>
      </c>
      <c r="E2365" s="5" t="s">
        <v>7808</v>
      </c>
      <c r="F2365" s="3" t="s">
        <v>7809</v>
      </c>
      <c r="G2365" s="3" t="s">
        <v>1010</v>
      </c>
      <c r="H2365" s="2" t="str">
        <f>"2013"</f>
        <v>2013</v>
      </c>
      <c r="I2365" t="s">
        <v>14</v>
      </c>
      <c r="J2365" t="s">
        <v>15</v>
      </c>
    </row>
    <row r="2366" spans="1:10">
      <c r="A2366" s="2" t="str">
        <f>"2363"</f>
        <v>2363</v>
      </c>
      <c r="B2366" s="2" t="s">
        <v>9</v>
      </c>
      <c r="C2366" s="2" t="str">
        <f>"1 (1)"</f>
        <v>1 (1)</v>
      </c>
      <c r="D2366" s="2" t="s">
        <v>7810</v>
      </c>
      <c r="E2366" s="5" t="s">
        <v>7811</v>
      </c>
      <c r="F2366" s="3" t="s">
        <v>7812</v>
      </c>
      <c r="G2366" s="3" t="s">
        <v>443</v>
      </c>
      <c r="H2366" s="2" t="str">
        <f>"2013"</f>
        <v>2013</v>
      </c>
      <c r="I2366" t="s">
        <v>14</v>
      </c>
      <c r="J2366" t="s">
        <v>15</v>
      </c>
    </row>
    <row r="2367" spans="1:10">
      <c r="A2367" s="2" t="str">
        <f>"2364"</f>
        <v>2364</v>
      </c>
      <c r="B2367" s="2" t="s">
        <v>9</v>
      </c>
      <c r="C2367" s="2" t="str">
        <f>"1 (1)"</f>
        <v>1 (1)</v>
      </c>
      <c r="D2367" s="2" t="s">
        <v>7813</v>
      </c>
      <c r="E2367" s="5" t="s">
        <v>7814</v>
      </c>
      <c r="F2367" s="3" t="s">
        <v>5844</v>
      </c>
      <c r="G2367" s="3" t="s">
        <v>7815</v>
      </c>
      <c r="H2367" s="2" t="str">
        <f>"2013"</f>
        <v>2013</v>
      </c>
      <c r="I2367" t="s">
        <v>14</v>
      </c>
      <c r="J2367" t="s">
        <v>15</v>
      </c>
    </row>
    <row r="2368" spans="1:10">
      <c r="A2368" s="2" t="str">
        <f>"2365"</f>
        <v>2365</v>
      </c>
      <c r="B2368" s="2" t="s">
        <v>9</v>
      </c>
      <c r="C2368" s="2" t="str">
        <f>"1 (1)"</f>
        <v>1 (1)</v>
      </c>
      <c r="D2368" s="2" t="s">
        <v>7816</v>
      </c>
      <c r="E2368" s="5" t="s">
        <v>7817</v>
      </c>
      <c r="F2368" s="3" t="s">
        <v>7818</v>
      </c>
      <c r="G2368" s="3" t="s">
        <v>7819</v>
      </c>
      <c r="H2368" s="2" t="str">
        <f>"2013"</f>
        <v>2013</v>
      </c>
      <c r="I2368" t="s">
        <v>14</v>
      </c>
      <c r="J2368" t="s">
        <v>15</v>
      </c>
    </row>
    <row r="2369" spans="1:10">
      <c r="A2369" s="2" t="str">
        <f>"2366"</f>
        <v>2366</v>
      </c>
      <c r="B2369" s="2" t="s">
        <v>9</v>
      </c>
      <c r="C2369" s="2" t="str">
        <f>"1 (1)"</f>
        <v>1 (1)</v>
      </c>
      <c r="D2369" s="2" t="s">
        <v>7820</v>
      </c>
      <c r="E2369" s="5" t="s">
        <v>7821</v>
      </c>
      <c r="F2369" s="3" t="s">
        <v>7822</v>
      </c>
      <c r="G2369" s="3" t="s">
        <v>7823</v>
      </c>
      <c r="H2369" s="2" t="str">
        <f>"2013"</f>
        <v>2013</v>
      </c>
      <c r="I2369" t="s">
        <v>14</v>
      </c>
      <c r="J2369" t="s">
        <v>15</v>
      </c>
    </row>
    <row r="2370" spans="1:10">
      <c r="A2370" s="2" t="str">
        <f>"2367"</f>
        <v>2367</v>
      </c>
      <c r="B2370" s="2" t="s">
        <v>9</v>
      </c>
      <c r="C2370" s="2" t="str">
        <f>"1 (1)"</f>
        <v>1 (1)</v>
      </c>
      <c r="D2370" s="2" t="s">
        <v>7824</v>
      </c>
      <c r="E2370" s="5" t="s">
        <v>7825</v>
      </c>
      <c r="F2370" s="3" t="s">
        <v>7826</v>
      </c>
      <c r="G2370" s="3" t="s">
        <v>7827</v>
      </c>
      <c r="H2370" s="2" t="str">
        <f>"2013"</f>
        <v>2013</v>
      </c>
      <c r="I2370" t="s">
        <v>14</v>
      </c>
      <c r="J2370" t="s">
        <v>15</v>
      </c>
    </row>
    <row r="2371" spans="1:10">
      <c r="A2371" s="2" t="str">
        <f>"2368"</f>
        <v>2368</v>
      </c>
      <c r="B2371" s="2" t="s">
        <v>9</v>
      </c>
      <c r="C2371" s="2" t="str">
        <f>"1 (1)"</f>
        <v>1 (1)</v>
      </c>
      <c r="D2371" s="2" t="s">
        <v>7828</v>
      </c>
      <c r="E2371" s="5" t="s">
        <v>7829</v>
      </c>
      <c r="F2371" s="3" t="s">
        <v>7830</v>
      </c>
      <c r="G2371" s="3" t="s">
        <v>7831</v>
      </c>
      <c r="H2371" s="2" t="str">
        <f>"2013"</f>
        <v>2013</v>
      </c>
      <c r="I2371" t="s">
        <v>14</v>
      </c>
      <c r="J2371" t="s">
        <v>15</v>
      </c>
    </row>
    <row r="2372" spans="1:10">
      <c r="A2372" s="2" t="str">
        <f>"2369"</f>
        <v>2369</v>
      </c>
      <c r="B2372" s="2" t="s">
        <v>9</v>
      </c>
      <c r="C2372" s="2" t="str">
        <f>"1 (1)"</f>
        <v>1 (1)</v>
      </c>
      <c r="D2372" s="2" t="s">
        <v>7832</v>
      </c>
      <c r="E2372" s="5" t="s">
        <v>7833</v>
      </c>
      <c r="F2372" s="3" t="s">
        <v>7834</v>
      </c>
      <c r="G2372" s="3" t="str">
        <f>"21세기북스"</f>
        <v>21세기북스</v>
      </c>
      <c r="H2372" s="2" t="str">
        <f>"2013"</f>
        <v>2013</v>
      </c>
      <c r="I2372" t="s">
        <v>14</v>
      </c>
      <c r="J2372" t="s">
        <v>15</v>
      </c>
    </row>
    <row r="2373" spans="1:10">
      <c r="A2373" s="2" t="str">
        <f>"2370"</f>
        <v>2370</v>
      </c>
      <c r="B2373" s="2" t="s">
        <v>9</v>
      </c>
      <c r="C2373" s="2" t="str">
        <f>"1 (1)"</f>
        <v>1 (1)</v>
      </c>
      <c r="D2373" s="2" t="s">
        <v>7835</v>
      </c>
      <c r="E2373" s="5" t="s">
        <v>7836</v>
      </c>
      <c r="F2373" s="3" t="s">
        <v>7837</v>
      </c>
      <c r="G2373" s="3" t="s">
        <v>1143</v>
      </c>
      <c r="H2373" s="2" t="str">
        <f>"2013"</f>
        <v>2013</v>
      </c>
      <c r="I2373" t="s">
        <v>14</v>
      </c>
      <c r="J2373" t="s">
        <v>15</v>
      </c>
    </row>
    <row r="2374" spans="1:10">
      <c r="A2374" s="2" t="str">
        <f>"2371"</f>
        <v>2371</v>
      </c>
      <c r="B2374" s="2" t="s">
        <v>9</v>
      </c>
      <c r="C2374" s="2" t="str">
        <f>"1 (1)"</f>
        <v>1 (1)</v>
      </c>
      <c r="D2374" s="2" t="s">
        <v>7838</v>
      </c>
      <c r="E2374" s="5" t="s">
        <v>7839</v>
      </c>
      <c r="F2374" s="3" t="s">
        <v>7840</v>
      </c>
      <c r="G2374" s="3" t="s">
        <v>7841</v>
      </c>
      <c r="H2374" s="2" t="str">
        <f>"2013"</f>
        <v>2013</v>
      </c>
      <c r="I2374" t="s">
        <v>14</v>
      </c>
      <c r="J2374" t="s">
        <v>15</v>
      </c>
    </row>
    <row r="2375" spans="1:10">
      <c r="A2375" s="2" t="str">
        <f>"2372"</f>
        <v>2372</v>
      </c>
      <c r="B2375" s="2" t="s">
        <v>9</v>
      </c>
      <c r="C2375" s="2" t="str">
        <f>"1 (1)"</f>
        <v>1 (1)</v>
      </c>
      <c r="D2375" s="2" t="s">
        <v>7842</v>
      </c>
      <c r="E2375" s="5" t="s">
        <v>7843</v>
      </c>
      <c r="F2375" s="3" t="s">
        <v>7844</v>
      </c>
      <c r="G2375" s="3" t="s">
        <v>4373</v>
      </c>
      <c r="H2375" s="2" t="str">
        <f>"2013"</f>
        <v>2013</v>
      </c>
      <c r="I2375" t="s">
        <v>14</v>
      </c>
      <c r="J2375" t="s">
        <v>15</v>
      </c>
    </row>
    <row r="2376" spans="1:10">
      <c r="A2376" s="2" t="str">
        <f>"2373"</f>
        <v>2373</v>
      </c>
      <c r="B2376" s="2" t="s">
        <v>9</v>
      </c>
      <c r="C2376" s="2" t="str">
        <f>"1 (1)"</f>
        <v>1 (1)</v>
      </c>
      <c r="D2376" s="2" t="s">
        <v>7845</v>
      </c>
      <c r="E2376" s="5" t="s">
        <v>7846</v>
      </c>
      <c r="F2376" s="3" t="s">
        <v>7847</v>
      </c>
      <c r="G2376" s="3" t="s">
        <v>4935</v>
      </c>
      <c r="H2376" s="2" t="str">
        <f>"2013"</f>
        <v>2013</v>
      </c>
      <c r="I2376" t="s">
        <v>14</v>
      </c>
      <c r="J2376" t="s">
        <v>15</v>
      </c>
    </row>
    <row r="2377" spans="1:10">
      <c r="A2377" s="2" t="str">
        <f>"2374"</f>
        <v>2374</v>
      </c>
      <c r="B2377" s="2" t="s">
        <v>9</v>
      </c>
      <c r="C2377" s="2" t="str">
        <f>"1 (1)"</f>
        <v>1 (1)</v>
      </c>
      <c r="D2377" s="2" t="s">
        <v>7848</v>
      </c>
      <c r="E2377" s="5" t="s">
        <v>7849</v>
      </c>
      <c r="F2377" s="3" t="s">
        <v>7850</v>
      </c>
      <c r="G2377" s="3" t="s">
        <v>3854</v>
      </c>
      <c r="H2377" s="2" t="str">
        <f>"2011"</f>
        <v>2011</v>
      </c>
      <c r="I2377" t="s">
        <v>14</v>
      </c>
      <c r="J2377" t="s">
        <v>15</v>
      </c>
    </row>
    <row r="2378" spans="1:10">
      <c r="A2378" s="2" t="str">
        <f>"2375"</f>
        <v>2375</v>
      </c>
      <c r="B2378" s="2" t="s">
        <v>9</v>
      </c>
      <c r="C2378" s="2" t="str">
        <f>"1 (1)"</f>
        <v>1 (1)</v>
      </c>
      <c r="D2378" s="2" t="s">
        <v>7851</v>
      </c>
      <c r="E2378" s="5" t="s">
        <v>7852</v>
      </c>
      <c r="F2378" s="3" t="s">
        <v>7853</v>
      </c>
      <c r="G2378" s="3" t="s">
        <v>2438</v>
      </c>
      <c r="H2378" s="2" t="str">
        <f>"2013"</f>
        <v>2013</v>
      </c>
      <c r="I2378" t="s">
        <v>14</v>
      </c>
      <c r="J2378" t="s">
        <v>15</v>
      </c>
    </row>
    <row r="2379" spans="1:10">
      <c r="A2379" s="2" t="str">
        <f>"2376"</f>
        <v>2376</v>
      </c>
      <c r="B2379" s="2" t="s">
        <v>9</v>
      </c>
      <c r="C2379" s="2" t="str">
        <f>"1 (1)"</f>
        <v>1 (1)</v>
      </c>
      <c r="D2379" s="2" t="s">
        <v>7854</v>
      </c>
      <c r="E2379" s="5" t="s">
        <v>7855</v>
      </c>
      <c r="F2379" s="3" t="s">
        <v>7856</v>
      </c>
      <c r="G2379" s="3" t="s">
        <v>3012</v>
      </c>
      <c r="H2379" s="2" t="str">
        <f>"2013"</f>
        <v>2013</v>
      </c>
      <c r="I2379" t="s">
        <v>14</v>
      </c>
      <c r="J2379" t="s">
        <v>15</v>
      </c>
    </row>
    <row r="2380" spans="1:10">
      <c r="A2380" s="2" t="str">
        <f>"2377"</f>
        <v>2377</v>
      </c>
      <c r="B2380" s="2" t="s">
        <v>9</v>
      </c>
      <c r="C2380" s="2" t="str">
        <f>"1 (1)"</f>
        <v>1 (1)</v>
      </c>
      <c r="D2380" s="2" t="s">
        <v>7857</v>
      </c>
      <c r="E2380" s="5" t="s">
        <v>7858</v>
      </c>
      <c r="F2380" s="3" t="s">
        <v>7859</v>
      </c>
      <c r="G2380" s="3" t="s">
        <v>7860</v>
      </c>
      <c r="H2380" s="2" t="str">
        <f>"2012"</f>
        <v>2012</v>
      </c>
      <c r="I2380" t="s">
        <v>14</v>
      </c>
      <c r="J2380" t="s">
        <v>15</v>
      </c>
    </row>
    <row r="2381" spans="1:10">
      <c r="A2381" s="2" t="str">
        <f>"2378"</f>
        <v>2378</v>
      </c>
      <c r="B2381" s="2" t="s">
        <v>9</v>
      </c>
      <c r="C2381" s="2" t="str">
        <f>"1 (1)"</f>
        <v>1 (1)</v>
      </c>
      <c r="D2381" s="2" t="s">
        <v>7861</v>
      </c>
      <c r="E2381" s="5" t="s">
        <v>7862</v>
      </c>
      <c r="F2381" s="3" t="s">
        <v>7863</v>
      </c>
      <c r="G2381" s="3" t="s">
        <v>7864</v>
      </c>
      <c r="H2381" s="2" t="str">
        <f>"2012"</f>
        <v>2012</v>
      </c>
      <c r="I2381" t="s">
        <v>14</v>
      </c>
      <c r="J2381" t="s">
        <v>15</v>
      </c>
    </row>
    <row r="2382" spans="1:10">
      <c r="A2382" s="2" t="str">
        <f>"2379"</f>
        <v>2379</v>
      </c>
      <c r="B2382" s="2" t="s">
        <v>9</v>
      </c>
      <c r="C2382" s="2" t="str">
        <f>"1 (1)"</f>
        <v>1 (1)</v>
      </c>
      <c r="D2382" s="2" t="s">
        <v>7865</v>
      </c>
      <c r="E2382" s="5" t="s">
        <v>7866</v>
      </c>
      <c r="F2382" s="3" t="s">
        <v>7867</v>
      </c>
      <c r="G2382" s="3" t="s">
        <v>3945</v>
      </c>
      <c r="H2382" s="2" t="str">
        <f>"2012"</f>
        <v>2012</v>
      </c>
      <c r="I2382" t="s">
        <v>14</v>
      </c>
      <c r="J2382" t="s">
        <v>15</v>
      </c>
    </row>
    <row r="2383" spans="1:10">
      <c r="A2383" s="2" t="str">
        <f>"2380"</f>
        <v>2380</v>
      </c>
      <c r="B2383" s="2" t="s">
        <v>9</v>
      </c>
      <c r="C2383" s="2" t="str">
        <f>"1 (1)"</f>
        <v>1 (1)</v>
      </c>
      <c r="D2383" s="2" t="s">
        <v>7868</v>
      </c>
      <c r="E2383" s="5" t="s">
        <v>7869</v>
      </c>
      <c r="F2383" s="3" t="s">
        <v>7870</v>
      </c>
      <c r="G2383" s="3" t="s">
        <v>1010</v>
      </c>
      <c r="H2383" s="2" t="str">
        <f>"2013"</f>
        <v>2013</v>
      </c>
      <c r="I2383" t="s">
        <v>14</v>
      </c>
      <c r="J2383" t="s">
        <v>15</v>
      </c>
    </row>
    <row r="2384" spans="1:10">
      <c r="A2384" s="2" t="str">
        <f>"2381"</f>
        <v>2381</v>
      </c>
      <c r="B2384" s="2" t="s">
        <v>9</v>
      </c>
      <c r="C2384" s="2" t="str">
        <f>"1 (1)"</f>
        <v>1 (1)</v>
      </c>
      <c r="D2384" s="2" t="s">
        <v>7871</v>
      </c>
      <c r="E2384" s="5" t="s">
        <v>7872</v>
      </c>
      <c r="F2384" s="3" t="s">
        <v>7873</v>
      </c>
      <c r="G2384" s="3" t="s">
        <v>7874</v>
      </c>
      <c r="H2384" s="2" t="str">
        <f>"2006"</f>
        <v>2006</v>
      </c>
      <c r="I2384" t="s">
        <v>14</v>
      </c>
      <c r="J2384" t="s">
        <v>15</v>
      </c>
    </row>
    <row r="2385" spans="1:10">
      <c r="A2385" s="2" t="str">
        <f>"2382"</f>
        <v>2382</v>
      </c>
      <c r="B2385" s="2" t="s">
        <v>9</v>
      </c>
      <c r="C2385" s="2" t="str">
        <f>"1 (1)"</f>
        <v>1 (1)</v>
      </c>
      <c r="D2385" s="2" t="s">
        <v>7875</v>
      </c>
      <c r="E2385" s="5" t="s">
        <v>7876</v>
      </c>
      <c r="F2385" s="3" t="s">
        <v>7877</v>
      </c>
      <c r="G2385" s="3" t="s">
        <v>3945</v>
      </c>
      <c r="H2385" s="2" t="str">
        <f>"2013"</f>
        <v>2013</v>
      </c>
      <c r="I2385" t="s">
        <v>14</v>
      </c>
      <c r="J2385" t="s">
        <v>15</v>
      </c>
    </row>
    <row r="2386" spans="1:10">
      <c r="A2386" s="2" t="str">
        <f>"2383"</f>
        <v>2383</v>
      </c>
      <c r="B2386" s="2" t="s">
        <v>9</v>
      </c>
      <c r="C2386" s="2" t="str">
        <f>"1 (1)"</f>
        <v>1 (1)</v>
      </c>
      <c r="D2386" s="2" t="s">
        <v>7878</v>
      </c>
      <c r="E2386" s="5" t="s">
        <v>7879</v>
      </c>
      <c r="F2386" s="3" t="s">
        <v>7880</v>
      </c>
      <c r="G2386" s="3" t="s">
        <v>2446</v>
      </c>
      <c r="H2386" s="2" t="str">
        <f>"2012"</f>
        <v>2012</v>
      </c>
      <c r="I2386" t="s">
        <v>14</v>
      </c>
      <c r="J2386" t="s">
        <v>15</v>
      </c>
    </row>
    <row r="2387" spans="1:10">
      <c r="A2387" s="2" t="str">
        <f>"2384"</f>
        <v>2384</v>
      </c>
      <c r="B2387" s="2" t="s">
        <v>9</v>
      </c>
      <c r="C2387" s="2" t="str">
        <f>"1 (1)"</f>
        <v>1 (1)</v>
      </c>
      <c r="D2387" s="2" t="s">
        <v>7881</v>
      </c>
      <c r="E2387" s="5" t="s">
        <v>7882</v>
      </c>
      <c r="F2387" s="3" t="s">
        <v>7883</v>
      </c>
      <c r="G2387" s="3" t="s">
        <v>7884</v>
      </c>
      <c r="H2387" s="2" t="str">
        <f>"2013"</f>
        <v>2013</v>
      </c>
      <c r="I2387" t="s">
        <v>14</v>
      </c>
      <c r="J2387" t="s">
        <v>15</v>
      </c>
    </row>
    <row r="2388" spans="1:10">
      <c r="A2388" s="2" t="str">
        <f>"2385"</f>
        <v>2385</v>
      </c>
      <c r="B2388" s="2" t="s">
        <v>9</v>
      </c>
      <c r="C2388" s="2" t="str">
        <f>"1 (1)"</f>
        <v>1 (1)</v>
      </c>
      <c r="D2388" s="2" t="s">
        <v>7885</v>
      </c>
      <c r="E2388" s="5" t="str">
        <f>"64"</f>
        <v>64</v>
      </c>
      <c r="F2388" s="3" t="s">
        <v>7886</v>
      </c>
      <c r="G2388" s="3" t="s">
        <v>4694</v>
      </c>
      <c r="H2388" s="2" t="str">
        <f>"2013"</f>
        <v>2013</v>
      </c>
      <c r="I2388" t="s">
        <v>14</v>
      </c>
      <c r="J2388" t="s">
        <v>15</v>
      </c>
    </row>
    <row r="2389" spans="1:10">
      <c r="A2389" s="2" t="str">
        <f>"2386"</f>
        <v>2386</v>
      </c>
      <c r="B2389" s="2" t="s">
        <v>9</v>
      </c>
      <c r="C2389" s="2" t="str">
        <f>"1 (1)"</f>
        <v>1 (1)</v>
      </c>
      <c r="D2389" s="2" t="s">
        <v>7887</v>
      </c>
      <c r="E2389" s="5" t="s">
        <v>7888</v>
      </c>
      <c r="F2389" s="3" t="s">
        <v>7889</v>
      </c>
      <c r="G2389" s="3" t="s">
        <v>7890</v>
      </c>
      <c r="H2389" s="2" t="str">
        <f>"2012"</f>
        <v>2012</v>
      </c>
      <c r="I2389" t="s">
        <v>14</v>
      </c>
      <c r="J2389" t="s">
        <v>15</v>
      </c>
    </row>
    <row r="2390" spans="1:10">
      <c r="A2390" s="2" t="str">
        <f>"2387"</f>
        <v>2387</v>
      </c>
      <c r="B2390" s="2" t="s">
        <v>9</v>
      </c>
      <c r="C2390" s="2" t="str">
        <f>"1 (1)"</f>
        <v>1 (1)</v>
      </c>
      <c r="D2390" s="2" t="s">
        <v>7891</v>
      </c>
      <c r="E2390" s="5" t="s">
        <v>7892</v>
      </c>
      <c r="F2390" s="3" t="s">
        <v>7893</v>
      </c>
      <c r="G2390" s="3" t="s">
        <v>936</v>
      </c>
      <c r="H2390" s="2" t="str">
        <f>"2010"</f>
        <v>2010</v>
      </c>
      <c r="I2390" t="s">
        <v>14</v>
      </c>
      <c r="J2390" t="s">
        <v>15</v>
      </c>
    </row>
    <row r="2391" spans="1:10">
      <c r="A2391" s="2" t="str">
        <f>"2388"</f>
        <v>2388</v>
      </c>
      <c r="B2391" s="2" t="s">
        <v>9</v>
      </c>
      <c r="C2391" s="2" t="str">
        <f>"1 (1)"</f>
        <v>1 (1)</v>
      </c>
      <c r="D2391" s="2" t="s">
        <v>7894</v>
      </c>
      <c r="E2391" s="5" t="s">
        <v>7895</v>
      </c>
      <c r="F2391" s="3" t="s">
        <v>7896</v>
      </c>
      <c r="G2391" s="3" t="s">
        <v>7897</v>
      </c>
      <c r="H2391" s="2" t="str">
        <f>"2012"</f>
        <v>2012</v>
      </c>
      <c r="I2391" t="s">
        <v>14</v>
      </c>
      <c r="J2391" t="s">
        <v>15</v>
      </c>
    </row>
    <row r="2392" spans="1:10">
      <c r="A2392" s="2" t="str">
        <f>"2389"</f>
        <v>2389</v>
      </c>
      <c r="B2392" s="2" t="s">
        <v>9</v>
      </c>
      <c r="C2392" s="2" t="str">
        <f>"1 (1)"</f>
        <v>1 (1)</v>
      </c>
      <c r="D2392" s="2" t="s">
        <v>7898</v>
      </c>
      <c r="E2392" s="5" t="s">
        <v>7899</v>
      </c>
      <c r="F2392" s="3" t="s">
        <v>7900</v>
      </c>
      <c r="G2392" s="3" t="s">
        <v>4520</v>
      </c>
      <c r="H2392" s="2" t="str">
        <f>"2013"</f>
        <v>2013</v>
      </c>
      <c r="I2392" t="s">
        <v>14</v>
      </c>
      <c r="J2392" t="s">
        <v>15</v>
      </c>
    </row>
    <row r="2393" spans="1:10">
      <c r="A2393" s="2" t="str">
        <f>"2390"</f>
        <v>2390</v>
      </c>
      <c r="B2393" s="2" t="s">
        <v>9</v>
      </c>
      <c r="C2393" s="2" t="str">
        <f>"1 (1)"</f>
        <v>1 (1)</v>
      </c>
      <c r="D2393" s="2" t="s">
        <v>7901</v>
      </c>
      <c r="E2393" s="5" t="s">
        <v>7902</v>
      </c>
      <c r="F2393" s="3" t="s">
        <v>7903</v>
      </c>
      <c r="G2393" s="3" t="s">
        <v>7904</v>
      </c>
      <c r="H2393" s="2" t="str">
        <f>"2011"</f>
        <v>2011</v>
      </c>
      <c r="I2393" t="s">
        <v>14</v>
      </c>
      <c r="J2393" t="s">
        <v>15</v>
      </c>
    </row>
    <row r="2394" spans="1:10">
      <c r="A2394" s="2" t="str">
        <f>"2391"</f>
        <v>2391</v>
      </c>
      <c r="B2394" s="2" t="s">
        <v>9</v>
      </c>
      <c r="C2394" s="2" t="str">
        <f>"1 (1)"</f>
        <v>1 (1)</v>
      </c>
      <c r="D2394" s="2" t="s">
        <v>7905</v>
      </c>
      <c r="E2394" s="5" t="s">
        <v>7906</v>
      </c>
      <c r="F2394" s="3" t="s">
        <v>7907</v>
      </c>
      <c r="G2394" s="3" t="s">
        <v>7908</v>
      </c>
      <c r="H2394" s="2" t="str">
        <f>"2013"</f>
        <v>2013</v>
      </c>
      <c r="I2394" t="s">
        <v>14</v>
      </c>
      <c r="J2394" t="s">
        <v>15</v>
      </c>
    </row>
    <row r="2395" spans="1:10">
      <c r="A2395" s="2" t="str">
        <f>"2392"</f>
        <v>2392</v>
      </c>
      <c r="B2395" s="2" t="s">
        <v>9</v>
      </c>
      <c r="C2395" s="2" t="str">
        <f>"1 (1)"</f>
        <v>1 (1)</v>
      </c>
      <c r="D2395" s="2" t="s">
        <v>7909</v>
      </c>
      <c r="E2395" s="5" t="s">
        <v>7910</v>
      </c>
      <c r="F2395" s="3" t="s">
        <v>7911</v>
      </c>
      <c r="G2395" s="3" t="s">
        <v>2438</v>
      </c>
      <c r="H2395" s="2" t="str">
        <f>"2013"</f>
        <v>2013</v>
      </c>
      <c r="I2395" t="s">
        <v>14</v>
      </c>
      <c r="J2395" t="s">
        <v>15</v>
      </c>
    </row>
    <row r="2396" spans="1:10">
      <c r="A2396" s="2" t="str">
        <f>"2393"</f>
        <v>2393</v>
      </c>
      <c r="B2396" s="2" t="s">
        <v>9</v>
      </c>
      <c r="C2396" s="2" t="str">
        <f>"1 (1)"</f>
        <v>1 (1)</v>
      </c>
      <c r="D2396" s="2" t="s">
        <v>7912</v>
      </c>
      <c r="E2396" s="5" t="s">
        <v>7913</v>
      </c>
      <c r="F2396" s="3" t="s">
        <v>7914</v>
      </c>
      <c r="G2396" s="3" t="s">
        <v>4017</v>
      </c>
      <c r="H2396" s="2" t="str">
        <f>"2013"</f>
        <v>2013</v>
      </c>
      <c r="I2396" t="s">
        <v>14</v>
      </c>
      <c r="J2396" t="s">
        <v>15</v>
      </c>
    </row>
    <row r="2397" spans="1:10">
      <c r="A2397" s="2" t="str">
        <f>"2394"</f>
        <v>2394</v>
      </c>
      <c r="B2397" s="2" t="s">
        <v>9</v>
      </c>
      <c r="C2397" s="2" t="str">
        <f>"1 (1)"</f>
        <v>1 (1)</v>
      </c>
      <c r="D2397" s="2" t="s">
        <v>7915</v>
      </c>
      <c r="E2397" s="5" t="s">
        <v>7916</v>
      </c>
      <c r="F2397" s="3" t="s">
        <v>7917</v>
      </c>
      <c r="G2397" s="3" t="s">
        <v>832</v>
      </c>
      <c r="H2397" s="2" t="str">
        <f>"2013"</f>
        <v>2013</v>
      </c>
      <c r="I2397" t="s">
        <v>14</v>
      </c>
      <c r="J2397" t="s">
        <v>15</v>
      </c>
    </row>
    <row r="2398" spans="1:10">
      <c r="A2398" s="2" t="str">
        <f>"2395"</f>
        <v>2395</v>
      </c>
      <c r="B2398" s="2" t="s">
        <v>9</v>
      </c>
      <c r="C2398" s="2" t="str">
        <f>"1 (1)"</f>
        <v>1 (1)</v>
      </c>
      <c r="D2398" s="2" t="s">
        <v>7918</v>
      </c>
      <c r="E2398" s="5" t="s">
        <v>7919</v>
      </c>
      <c r="F2398" s="3" t="s">
        <v>7920</v>
      </c>
      <c r="G2398" s="3" t="str">
        <f>"21세기북스"</f>
        <v>21세기북스</v>
      </c>
      <c r="H2398" s="2" t="str">
        <f>"2013"</f>
        <v>2013</v>
      </c>
      <c r="I2398" t="s">
        <v>14</v>
      </c>
      <c r="J2398" t="s">
        <v>15</v>
      </c>
    </row>
    <row r="2399" spans="1:10">
      <c r="A2399" s="2" t="str">
        <f>"2396"</f>
        <v>2396</v>
      </c>
      <c r="B2399" s="2" t="s">
        <v>9</v>
      </c>
      <c r="C2399" s="2" t="str">
        <f>"1 (1)"</f>
        <v>1 (1)</v>
      </c>
      <c r="D2399" s="2" t="s">
        <v>7921</v>
      </c>
      <c r="E2399" s="5" t="s">
        <v>7922</v>
      </c>
      <c r="F2399" s="3" t="s">
        <v>7923</v>
      </c>
      <c r="G2399" s="3" t="s">
        <v>2438</v>
      </c>
      <c r="H2399" s="2" t="str">
        <f>"2013"</f>
        <v>2013</v>
      </c>
      <c r="I2399" t="s">
        <v>14</v>
      </c>
      <c r="J2399" t="s">
        <v>15</v>
      </c>
    </row>
    <row r="2400" spans="1:10">
      <c r="A2400" s="2" t="str">
        <f>"2397"</f>
        <v>2397</v>
      </c>
      <c r="B2400" s="2" t="s">
        <v>9</v>
      </c>
      <c r="C2400" s="2" t="str">
        <f>"1 (1)"</f>
        <v>1 (1)</v>
      </c>
      <c r="D2400" s="2" t="s">
        <v>7924</v>
      </c>
      <c r="E2400" s="5" t="s">
        <v>7925</v>
      </c>
      <c r="F2400" s="3" t="s">
        <v>7926</v>
      </c>
      <c r="G2400" s="3" t="s">
        <v>7927</v>
      </c>
      <c r="H2400" s="2" t="str">
        <f>"2013"</f>
        <v>2013</v>
      </c>
      <c r="I2400" t="s">
        <v>14</v>
      </c>
      <c r="J2400" t="s">
        <v>15</v>
      </c>
    </row>
    <row r="2401" spans="1:10">
      <c r="A2401" s="2" t="str">
        <f>"2398"</f>
        <v>2398</v>
      </c>
      <c r="B2401" s="2" t="s">
        <v>9</v>
      </c>
      <c r="C2401" s="2" t="str">
        <f>"1 (1)"</f>
        <v>1 (1)</v>
      </c>
      <c r="D2401" s="2" t="s">
        <v>7928</v>
      </c>
      <c r="E2401" s="5" t="s">
        <v>7929</v>
      </c>
      <c r="F2401" s="3" t="s">
        <v>7930</v>
      </c>
      <c r="G2401" s="3" t="s">
        <v>7931</v>
      </c>
      <c r="H2401" s="2" t="str">
        <f>"2013"</f>
        <v>2013</v>
      </c>
      <c r="I2401" t="s">
        <v>14</v>
      </c>
      <c r="J2401" t="s">
        <v>15</v>
      </c>
    </row>
    <row r="2402" spans="1:10">
      <c r="A2402" s="2" t="str">
        <f>"2399"</f>
        <v>2399</v>
      </c>
      <c r="B2402" s="2" t="s">
        <v>9</v>
      </c>
      <c r="C2402" s="2" t="str">
        <f>"1 (1)"</f>
        <v>1 (1)</v>
      </c>
      <c r="D2402" s="2" t="s">
        <v>7932</v>
      </c>
      <c r="E2402" s="5" t="s">
        <v>7933</v>
      </c>
      <c r="F2402" s="3" t="s">
        <v>7934</v>
      </c>
      <c r="G2402" s="3" t="s">
        <v>3106</v>
      </c>
      <c r="H2402" s="2" t="str">
        <f>"2013"</f>
        <v>2013</v>
      </c>
      <c r="I2402" t="s">
        <v>14</v>
      </c>
      <c r="J2402" t="s">
        <v>15</v>
      </c>
    </row>
    <row r="2403" spans="1:10">
      <c r="A2403" s="2" t="str">
        <f>"2400"</f>
        <v>2400</v>
      </c>
      <c r="B2403" s="2" t="s">
        <v>9</v>
      </c>
      <c r="C2403" s="2" t="str">
        <f>"1 (1)"</f>
        <v>1 (1)</v>
      </c>
      <c r="D2403" s="2" t="s">
        <v>7935</v>
      </c>
      <c r="E2403" s="5" t="s">
        <v>7936</v>
      </c>
      <c r="F2403" s="3" t="s">
        <v>7937</v>
      </c>
      <c r="G2403" s="3" t="s">
        <v>7938</v>
      </c>
      <c r="H2403" s="2" t="str">
        <f>"2013"</f>
        <v>2013</v>
      </c>
      <c r="I2403" t="s">
        <v>14</v>
      </c>
      <c r="J2403" t="s">
        <v>15</v>
      </c>
    </row>
    <row r="2404" spans="1:10">
      <c r="A2404" s="2" t="str">
        <f>"2401"</f>
        <v>2401</v>
      </c>
      <c r="B2404" s="2" t="s">
        <v>9</v>
      </c>
      <c r="C2404" s="2" t="str">
        <f>"1 (1)"</f>
        <v>1 (1)</v>
      </c>
      <c r="D2404" s="2" t="s">
        <v>7939</v>
      </c>
      <c r="E2404" s="5" t="s">
        <v>7940</v>
      </c>
      <c r="F2404" s="3" t="s">
        <v>7941</v>
      </c>
      <c r="G2404" s="3" t="s">
        <v>7942</v>
      </c>
      <c r="H2404" s="2" t="str">
        <f>"2013"</f>
        <v>2013</v>
      </c>
      <c r="I2404" t="s">
        <v>14</v>
      </c>
      <c r="J2404" t="s">
        <v>15</v>
      </c>
    </row>
    <row r="2405" spans="1:10">
      <c r="A2405" s="2" t="str">
        <f>"2402"</f>
        <v>2402</v>
      </c>
      <c r="B2405" s="2" t="s">
        <v>9</v>
      </c>
      <c r="C2405" s="2" t="str">
        <f>"1 (1)"</f>
        <v>1 (1)</v>
      </c>
      <c r="D2405" s="2" t="s">
        <v>7943</v>
      </c>
      <c r="E2405" s="5" t="s">
        <v>7944</v>
      </c>
      <c r="F2405" s="3" t="s">
        <v>7945</v>
      </c>
      <c r="G2405" s="3" t="s">
        <v>1272</v>
      </c>
      <c r="H2405" s="2" t="str">
        <f>"2013"</f>
        <v>2013</v>
      </c>
      <c r="I2405" t="s">
        <v>14</v>
      </c>
      <c r="J2405" t="s">
        <v>15</v>
      </c>
    </row>
    <row r="2406" spans="1:10">
      <c r="A2406" s="2" t="str">
        <f>"2403"</f>
        <v>2403</v>
      </c>
      <c r="B2406" s="2" t="s">
        <v>9</v>
      </c>
      <c r="C2406" s="2" t="str">
        <f>"1 (1)"</f>
        <v>1 (1)</v>
      </c>
      <c r="D2406" s="2" t="s">
        <v>7946</v>
      </c>
      <c r="E2406" s="5" t="s">
        <v>7947</v>
      </c>
      <c r="F2406" s="3" t="s">
        <v>7948</v>
      </c>
      <c r="G2406" s="3" t="s">
        <v>4369</v>
      </c>
      <c r="H2406" s="2" t="str">
        <f>"2013"</f>
        <v>2013</v>
      </c>
      <c r="I2406" t="s">
        <v>14</v>
      </c>
      <c r="J2406" t="s">
        <v>15</v>
      </c>
    </row>
    <row r="2407" spans="1:10">
      <c r="A2407" s="2" t="str">
        <f>"2404"</f>
        <v>2404</v>
      </c>
      <c r="B2407" s="2" t="s">
        <v>9</v>
      </c>
      <c r="C2407" s="2" t="str">
        <f>"1 (1)"</f>
        <v>1 (1)</v>
      </c>
      <c r="D2407" s="2" t="s">
        <v>7949</v>
      </c>
      <c r="E2407" s="5" t="s">
        <v>7950</v>
      </c>
      <c r="F2407" s="3" t="s">
        <v>7951</v>
      </c>
      <c r="G2407" s="3" t="s">
        <v>1010</v>
      </c>
      <c r="H2407" s="2" t="str">
        <f>"2013"</f>
        <v>2013</v>
      </c>
      <c r="I2407" t="s">
        <v>14</v>
      </c>
      <c r="J2407" t="s">
        <v>15</v>
      </c>
    </row>
    <row r="2408" spans="1:10">
      <c r="A2408" s="2" t="str">
        <f>"2405"</f>
        <v>2405</v>
      </c>
      <c r="B2408" s="2" t="s">
        <v>9</v>
      </c>
      <c r="C2408" s="2" t="str">
        <f>"1 (1)"</f>
        <v>1 (1)</v>
      </c>
      <c r="D2408" s="2" t="s">
        <v>7952</v>
      </c>
      <c r="E2408" s="5" t="s">
        <v>7953</v>
      </c>
      <c r="F2408" s="3" t="s">
        <v>7954</v>
      </c>
      <c r="G2408" s="3" t="s">
        <v>3187</v>
      </c>
      <c r="H2408" s="2" t="str">
        <f>"2013"</f>
        <v>2013</v>
      </c>
      <c r="I2408" t="s">
        <v>14</v>
      </c>
      <c r="J2408" t="s">
        <v>15</v>
      </c>
    </row>
    <row r="2409" spans="1:10">
      <c r="A2409" s="2" t="str">
        <f>"2406"</f>
        <v>2406</v>
      </c>
      <c r="B2409" s="2" t="s">
        <v>9</v>
      </c>
      <c r="C2409" s="2" t="str">
        <f>"1 (1)"</f>
        <v>1 (1)</v>
      </c>
      <c r="D2409" s="2" t="s">
        <v>7955</v>
      </c>
      <c r="E2409" s="5" t="s">
        <v>7956</v>
      </c>
      <c r="F2409" s="3" t="s">
        <v>7957</v>
      </c>
      <c r="G2409" s="3" t="s">
        <v>7958</v>
      </c>
      <c r="H2409" s="2" t="str">
        <f>"2013"</f>
        <v>2013</v>
      </c>
      <c r="I2409" t="s">
        <v>14</v>
      </c>
      <c r="J2409" t="s">
        <v>15</v>
      </c>
    </row>
    <row r="2410" spans="1:10">
      <c r="A2410" s="2" t="str">
        <f>"2407"</f>
        <v>2407</v>
      </c>
      <c r="B2410" s="2" t="s">
        <v>9</v>
      </c>
      <c r="C2410" s="2" t="str">
        <f>"1 (1)"</f>
        <v>1 (1)</v>
      </c>
      <c r="D2410" s="2" t="s">
        <v>7959</v>
      </c>
      <c r="E2410" s="5" t="s">
        <v>7960</v>
      </c>
      <c r="F2410" s="3" t="s">
        <v>7961</v>
      </c>
      <c r="G2410" s="3" t="s">
        <v>7962</v>
      </c>
      <c r="H2410" s="2" t="str">
        <f>"2013"</f>
        <v>2013</v>
      </c>
      <c r="I2410" t="s">
        <v>14</v>
      </c>
      <c r="J2410" t="s">
        <v>15</v>
      </c>
    </row>
    <row r="2411" spans="1:10">
      <c r="A2411" s="2" t="str">
        <f>"2408"</f>
        <v>2408</v>
      </c>
      <c r="B2411" s="2" t="s">
        <v>9</v>
      </c>
      <c r="C2411" s="2" t="str">
        <f>"1 (1)"</f>
        <v>1 (1)</v>
      </c>
      <c r="D2411" s="2" t="s">
        <v>7963</v>
      </c>
      <c r="E2411" s="5" t="s">
        <v>7964</v>
      </c>
      <c r="F2411" s="3" t="s">
        <v>7965</v>
      </c>
      <c r="G2411" s="3" t="s">
        <v>2438</v>
      </c>
      <c r="H2411" s="2" t="str">
        <f>"2013"</f>
        <v>2013</v>
      </c>
      <c r="I2411" t="s">
        <v>14</v>
      </c>
      <c r="J2411" t="s">
        <v>15</v>
      </c>
    </row>
    <row r="2412" spans="1:10">
      <c r="A2412" s="2" t="str">
        <f>"2409"</f>
        <v>2409</v>
      </c>
      <c r="B2412" s="2" t="s">
        <v>9</v>
      </c>
      <c r="C2412" s="2" t="str">
        <f>"1 (1)"</f>
        <v>1 (1)</v>
      </c>
      <c r="D2412" s="2" t="s">
        <v>7966</v>
      </c>
      <c r="E2412" s="5" t="s">
        <v>7967</v>
      </c>
      <c r="F2412" s="3" t="s">
        <v>7968</v>
      </c>
      <c r="G2412" s="3" t="s">
        <v>7969</v>
      </c>
      <c r="H2412" s="2" t="str">
        <f>"2013"</f>
        <v>2013</v>
      </c>
      <c r="I2412" t="s">
        <v>14</v>
      </c>
      <c r="J2412" t="s">
        <v>15</v>
      </c>
    </row>
    <row r="2413" spans="1:10">
      <c r="A2413" s="2" t="str">
        <f>"2410"</f>
        <v>2410</v>
      </c>
      <c r="B2413" s="2" t="s">
        <v>9</v>
      </c>
      <c r="C2413" s="2" t="str">
        <f>"1 (1)"</f>
        <v>1 (1)</v>
      </c>
      <c r="D2413" s="2" t="s">
        <v>7970</v>
      </c>
      <c r="E2413" s="5" t="s">
        <v>7971</v>
      </c>
      <c r="F2413" s="3" t="s">
        <v>7972</v>
      </c>
      <c r="G2413" s="3" t="s">
        <v>3567</v>
      </c>
      <c r="H2413" s="2" t="str">
        <f>"2012"</f>
        <v>2012</v>
      </c>
      <c r="I2413" t="s">
        <v>14</v>
      </c>
      <c r="J2413" t="s">
        <v>15</v>
      </c>
    </row>
    <row r="2414" spans="1:10">
      <c r="A2414" s="2" t="str">
        <f>"2411"</f>
        <v>2411</v>
      </c>
      <c r="B2414" s="2" t="s">
        <v>9</v>
      </c>
      <c r="C2414" s="2" t="str">
        <f>"1 (1)"</f>
        <v>1 (1)</v>
      </c>
      <c r="D2414" s="2" t="s">
        <v>7973</v>
      </c>
      <c r="E2414" s="5" t="s">
        <v>7974</v>
      </c>
      <c r="F2414" s="3" t="s">
        <v>7975</v>
      </c>
      <c r="G2414" s="3" t="s">
        <v>3854</v>
      </c>
      <c r="H2414" s="2" t="str">
        <f>"2013"</f>
        <v>2013</v>
      </c>
      <c r="I2414" t="s">
        <v>14</v>
      </c>
      <c r="J2414" t="s">
        <v>15</v>
      </c>
    </row>
    <row r="2415" spans="1:10">
      <c r="A2415" s="2" t="str">
        <f>"2412"</f>
        <v>2412</v>
      </c>
      <c r="B2415" s="2" t="s">
        <v>9</v>
      </c>
      <c r="C2415" s="2" t="str">
        <f>"1 (1)"</f>
        <v>1 (1)</v>
      </c>
      <c r="D2415" s="2" t="s">
        <v>7976</v>
      </c>
      <c r="E2415" s="5" t="s">
        <v>7977</v>
      </c>
      <c r="F2415" s="3" t="s">
        <v>7972</v>
      </c>
      <c r="G2415" s="3" t="s">
        <v>3782</v>
      </c>
      <c r="H2415" s="2" t="str">
        <f>"2013"</f>
        <v>2013</v>
      </c>
      <c r="I2415" t="s">
        <v>14</v>
      </c>
      <c r="J2415" t="s">
        <v>15</v>
      </c>
    </row>
    <row r="2416" spans="1:10">
      <c r="A2416" s="2" t="str">
        <f>"2413"</f>
        <v>2413</v>
      </c>
      <c r="B2416" s="2" t="s">
        <v>9</v>
      </c>
      <c r="C2416" s="2" t="str">
        <f>"1 (1)"</f>
        <v>1 (1)</v>
      </c>
      <c r="D2416" s="2" t="s">
        <v>7978</v>
      </c>
      <c r="E2416" s="5" t="s">
        <v>7979</v>
      </c>
      <c r="F2416" s="3" t="s">
        <v>7980</v>
      </c>
      <c r="G2416" s="3" t="s">
        <v>7981</v>
      </c>
      <c r="H2416" s="2" t="str">
        <f>"2011"</f>
        <v>2011</v>
      </c>
      <c r="I2416" t="s">
        <v>14</v>
      </c>
      <c r="J2416" t="s">
        <v>15</v>
      </c>
    </row>
    <row r="2417" spans="1:10">
      <c r="A2417" s="2" t="str">
        <f>"2414"</f>
        <v>2414</v>
      </c>
      <c r="B2417" s="2" t="s">
        <v>9</v>
      </c>
      <c r="C2417" s="2" t="str">
        <f>"1 (1)"</f>
        <v>1 (1)</v>
      </c>
      <c r="D2417" s="2" t="s">
        <v>7982</v>
      </c>
      <c r="E2417" s="5" t="s">
        <v>7983</v>
      </c>
      <c r="F2417" s="3" t="s">
        <v>7853</v>
      </c>
      <c r="G2417" s="3" t="s">
        <v>3012</v>
      </c>
      <c r="H2417" s="2" t="str">
        <f>"2010"</f>
        <v>2010</v>
      </c>
      <c r="I2417" t="s">
        <v>14</v>
      </c>
      <c r="J2417" t="s">
        <v>15</v>
      </c>
    </row>
    <row r="2418" spans="1:10">
      <c r="A2418" s="2" t="str">
        <f>"2415"</f>
        <v>2415</v>
      </c>
      <c r="B2418" s="2" t="s">
        <v>9</v>
      </c>
      <c r="C2418" s="2" t="str">
        <f>"1 (1)"</f>
        <v>1 (1)</v>
      </c>
      <c r="D2418" s="2" t="s">
        <v>7984</v>
      </c>
      <c r="E2418" s="5" t="s">
        <v>5479</v>
      </c>
      <c r="F2418" s="3" t="s">
        <v>5480</v>
      </c>
      <c r="G2418" s="3" t="s">
        <v>5481</v>
      </c>
      <c r="H2418" s="2" t="str">
        <f>"2013"</f>
        <v>2013</v>
      </c>
      <c r="I2418" t="s">
        <v>14</v>
      </c>
      <c r="J2418" t="s">
        <v>15</v>
      </c>
    </row>
    <row r="2419" spans="1:10">
      <c r="A2419" s="2" t="str">
        <f>"2416"</f>
        <v>2416</v>
      </c>
      <c r="B2419" s="2" t="s">
        <v>9</v>
      </c>
      <c r="C2419" s="2" t="str">
        <f>"1 (1)"</f>
        <v>1 (1)</v>
      </c>
      <c r="D2419" s="2" t="s">
        <v>7985</v>
      </c>
      <c r="E2419" s="5" t="s">
        <v>7986</v>
      </c>
      <c r="F2419" s="3" t="s">
        <v>7889</v>
      </c>
      <c r="G2419" s="3" t="s">
        <v>7890</v>
      </c>
      <c r="H2419" s="2" t="str">
        <f>"2010"</f>
        <v>2010</v>
      </c>
      <c r="I2419" t="s">
        <v>14</v>
      </c>
      <c r="J2419" t="s">
        <v>15</v>
      </c>
    </row>
    <row r="2420" spans="1:10">
      <c r="A2420" s="2" t="str">
        <f>"2417"</f>
        <v>2417</v>
      </c>
      <c r="B2420" s="2" t="s">
        <v>9</v>
      </c>
      <c r="C2420" s="2" t="str">
        <f>"1 (1)"</f>
        <v>1 (1)</v>
      </c>
      <c r="D2420" s="2" t="s">
        <v>7987</v>
      </c>
      <c r="E2420" s="5" t="s">
        <v>7988</v>
      </c>
      <c r="F2420" s="3" t="s">
        <v>7989</v>
      </c>
      <c r="G2420" s="3" t="s">
        <v>7990</v>
      </c>
      <c r="H2420" s="2" t="str">
        <f>"2013"</f>
        <v>2013</v>
      </c>
      <c r="I2420" t="s">
        <v>14</v>
      </c>
      <c r="J2420" t="s">
        <v>15</v>
      </c>
    </row>
    <row r="2421" spans="1:10">
      <c r="A2421" s="2" t="str">
        <f>"2418"</f>
        <v>2418</v>
      </c>
      <c r="B2421" s="2" t="s">
        <v>9</v>
      </c>
      <c r="C2421" s="2" t="str">
        <f>"1 (1)"</f>
        <v>1 (1)</v>
      </c>
      <c r="D2421" s="2" t="s">
        <v>7991</v>
      </c>
      <c r="E2421" s="5" t="s">
        <v>5121</v>
      </c>
      <c r="F2421" s="3" t="s">
        <v>5122</v>
      </c>
      <c r="G2421" s="3" t="s">
        <v>5123</v>
      </c>
      <c r="H2421" s="2" t="str">
        <f>"2013"</f>
        <v>2013</v>
      </c>
      <c r="I2421" t="s">
        <v>14</v>
      </c>
      <c r="J2421" t="s">
        <v>15</v>
      </c>
    </row>
    <row r="2422" spans="1:10">
      <c r="A2422" s="2" t="str">
        <f>"2419"</f>
        <v>2419</v>
      </c>
      <c r="B2422" s="2" t="s">
        <v>9</v>
      </c>
      <c r="C2422" s="2" t="str">
        <f>"1 (1)"</f>
        <v>1 (1)</v>
      </c>
      <c r="D2422" s="2" t="s">
        <v>7992</v>
      </c>
      <c r="E2422" s="5" t="s">
        <v>4179</v>
      </c>
      <c r="F2422" s="3" t="s">
        <v>4180</v>
      </c>
      <c r="G2422" s="3" t="s">
        <v>4090</v>
      </c>
      <c r="H2422" s="2" t="str">
        <f>"2012"</f>
        <v>2012</v>
      </c>
      <c r="I2422" t="s">
        <v>14</v>
      </c>
      <c r="J2422" t="s">
        <v>15</v>
      </c>
    </row>
    <row r="2423" spans="1:10">
      <c r="A2423" s="2" t="str">
        <f>"2420"</f>
        <v>2420</v>
      </c>
      <c r="B2423" s="2" t="s">
        <v>9</v>
      </c>
      <c r="C2423" s="2" t="str">
        <f>"1 (1)"</f>
        <v>1 (1)</v>
      </c>
      <c r="D2423" s="2" t="s">
        <v>7993</v>
      </c>
      <c r="E2423" s="5" t="s">
        <v>7994</v>
      </c>
      <c r="F2423" s="3" t="s">
        <v>7995</v>
      </c>
      <c r="G2423" s="3" t="s">
        <v>7996</v>
      </c>
      <c r="H2423" s="2" t="str">
        <f>"2012"</f>
        <v>2012</v>
      </c>
      <c r="I2423" t="s">
        <v>14</v>
      </c>
      <c r="J2423" t="s">
        <v>15</v>
      </c>
    </row>
    <row r="2424" spans="1:10">
      <c r="A2424" s="2" t="str">
        <f>"2421"</f>
        <v>2421</v>
      </c>
      <c r="B2424" s="2" t="s">
        <v>9</v>
      </c>
      <c r="C2424" s="2" t="str">
        <f>"1 (1)"</f>
        <v>1 (1)</v>
      </c>
      <c r="D2424" s="2" t="s">
        <v>7997</v>
      </c>
      <c r="E2424" s="5" t="s">
        <v>7998</v>
      </c>
      <c r="F2424" s="3" t="s">
        <v>7999</v>
      </c>
      <c r="G2424" s="3" t="s">
        <v>4907</v>
      </c>
      <c r="H2424" s="2" t="str">
        <f>"2012"</f>
        <v>2012</v>
      </c>
      <c r="I2424" t="s">
        <v>14</v>
      </c>
      <c r="J2424" t="s">
        <v>15</v>
      </c>
    </row>
    <row r="2425" spans="1:10">
      <c r="A2425" s="2" t="str">
        <f>"2422"</f>
        <v>2422</v>
      </c>
      <c r="B2425" s="2" t="s">
        <v>9</v>
      </c>
      <c r="C2425" s="2" t="str">
        <f>"1 (1)"</f>
        <v>1 (1)</v>
      </c>
      <c r="D2425" s="2" t="s">
        <v>8000</v>
      </c>
      <c r="E2425" s="5" t="s">
        <v>8001</v>
      </c>
      <c r="F2425" s="3" t="s">
        <v>7999</v>
      </c>
      <c r="G2425" s="3" t="s">
        <v>8002</v>
      </c>
      <c r="H2425" s="2" t="str">
        <f>"2012"</f>
        <v>2012</v>
      </c>
      <c r="I2425" t="s">
        <v>14</v>
      </c>
      <c r="J2425" t="s">
        <v>15</v>
      </c>
    </row>
    <row r="2426" spans="1:10">
      <c r="A2426" s="2" t="str">
        <f>"2423"</f>
        <v>2423</v>
      </c>
      <c r="B2426" s="2" t="s">
        <v>9</v>
      </c>
      <c r="C2426" s="2" t="str">
        <f>"1 (1)"</f>
        <v>1 (1)</v>
      </c>
      <c r="D2426" s="2" t="s">
        <v>8003</v>
      </c>
      <c r="E2426" s="5" t="s">
        <v>8004</v>
      </c>
      <c r="F2426" s="3" t="s">
        <v>7999</v>
      </c>
      <c r="G2426" s="3" t="s">
        <v>8002</v>
      </c>
      <c r="H2426" s="2" t="str">
        <f>"2012"</f>
        <v>2012</v>
      </c>
      <c r="I2426" t="s">
        <v>14</v>
      </c>
      <c r="J2426" t="s">
        <v>15</v>
      </c>
    </row>
    <row r="2427" spans="1:10">
      <c r="A2427" s="2" t="str">
        <f>"2424"</f>
        <v>2424</v>
      </c>
      <c r="B2427" s="2" t="s">
        <v>9</v>
      </c>
      <c r="C2427" s="2" t="str">
        <f>"1 (1)"</f>
        <v>1 (1)</v>
      </c>
      <c r="D2427" s="2" t="s">
        <v>8005</v>
      </c>
      <c r="E2427" s="5" t="s">
        <v>8006</v>
      </c>
      <c r="F2427" s="3" t="s">
        <v>8007</v>
      </c>
      <c r="G2427" s="3" t="s">
        <v>8008</v>
      </c>
      <c r="H2427" s="2" t="str">
        <f>"2012"</f>
        <v>2012</v>
      </c>
      <c r="I2427" t="s">
        <v>14</v>
      </c>
      <c r="J2427" t="s">
        <v>15</v>
      </c>
    </row>
    <row r="2428" spans="1:10">
      <c r="A2428" s="2" t="str">
        <f>"2425"</f>
        <v>2425</v>
      </c>
      <c r="B2428" s="2" t="s">
        <v>9</v>
      </c>
      <c r="C2428" s="2" t="str">
        <f>"1 (1)"</f>
        <v>1 (1)</v>
      </c>
      <c r="D2428" s="2" t="s">
        <v>8009</v>
      </c>
      <c r="E2428" s="5" t="s">
        <v>8010</v>
      </c>
      <c r="F2428" s="3" t="s">
        <v>8007</v>
      </c>
      <c r="G2428" s="3" t="s">
        <v>8008</v>
      </c>
      <c r="H2428" s="2" t="str">
        <f>"2013"</f>
        <v>2013</v>
      </c>
      <c r="I2428" t="s">
        <v>14</v>
      </c>
      <c r="J2428" t="s">
        <v>15</v>
      </c>
    </row>
    <row r="2429" spans="1:10">
      <c r="A2429" s="2" t="str">
        <f>"2426"</f>
        <v>2426</v>
      </c>
      <c r="B2429" s="2" t="s">
        <v>9</v>
      </c>
      <c r="C2429" s="2" t="str">
        <f>"1 (1)"</f>
        <v>1 (1)</v>
      </c>
      <c r="D2429" s="2" t="s">
        <v>8011</v>
      </c>
      <c r="E2429" s="5" t="s">
        <v>8012</v>
      </c>
      <c r="F2429" s="3" t="s">
        <v>8013</v>
      </c>
      <c r="G2429" s="3" t="s">
        <v>360</v>
      </c>
      <c r="H2429" s="2" t="str">
        <f>"2012"</f>
        <v>2012</v>
      </c>
      <c r="I2429" t="s">
        <v>14</v>
      </c>
      <c r="J2429" t="s">
        <v>15</v>
      </c>
    </row>
    <row r="2430" spans="1:10">
      <c r="A2430" s="2" t="str">
        <f>"2427"</f>
        <v>2427</v>
      </c>
      <c r="B2430" s="2" t="s">
        <v>9</v>
      </c>
      <c r="C2430" s="2" t="str">
        <f>"1 (1)"</f>
        <v>1 (1)</v>
      </c>
      <c r="D2430" s="2" t="s">
        <v>8014</v>
      </c>
      <c r="E2430" s="5" t="s">
        <v>8015</v>
      </c>
      <c r="F2430" s="3" t="s">
        <v>8016</v>
      </c>
      <c r="G2430" s="3" t="s">
        <v>8017</v>
      </c>
      <c r="H2430" s="2" t="str">
        <f>"2012"</f>
        <v>2012</v>
      </c>
      <c r="I2430" t="s">
        <v>14</v>
      </c>
      <c r="J2430" t="s">
        <v>15</v>
      </c>
    </row>
    <row r="2431" spans="1:10">
      <c r="A2431" s="2" t="str">
        <f>"2428"</f>
        <v>2428</v>
      </c>
      <c r="B2431" s="2" t="s">
        <v>9</v>
      </c>
      <c r="C2431" s="2" t="str">
        <f>"1 (1)"</f>
        <v>1 (1)</v>
      </c>
      <c r="D2431" s="2" t="s">
        <v>8018</v>
      </c>
      <c r="E2431" s="5" t="s">
        <v>8019</v>
      </c>
      <c r="F2431" s="3" t="s">
        <v>8020</v>
      </c>
      <c r="G2431" s="3" t="s">
        <v>8021</v>
      </c>
      <c r="H2431" s="2" t="str">
        <f>"2012"</f>
        <v>2012</v>
      </c>
      <c r="I2431" t="s">
        <v>14</v>
      </c>
      <c r="J2431" t="s">
        <v>15</v>
      </c>
    </row>
    <row r="2432" spans="1:10">
      <c r="A2432" s="2" t="str">
        <f>"2429"</f>
        <v>2429</v>
      </c>
      <c r="B2432" s="2" t="s">
        <v>9</v>
      </c>
      <c r="C2432" s="2" t="str">
        <f>"1 (1)"</f>
        <v>1 (1)</v>
      </c>
      <c r="D2432" s="2" t="s">
        <v>8022</v>
      </c>
      <c r="E2432" s="5" t="s">
        <v>8023</v>
      </c>
      <c r="F2432" s="3" t="s">
        <v>8024</v>
      </c>
      <c r="G2432" s="3" t="s">
        <v>150</v>
      </c>
      <c r="H2432" s="2" t="str">
        <f>"2012"</f>
        <v>2012</v>
      </c>
      <c r="I2432" t="s">
        <v>14</v>
      </c>
      <c r="J2432" t="s">
        <v>15</v>
      </c>
    </row>
    <row r="2433" spans="1:10">
      <c r="A2433" s="2" t="str">
        <f>"2430"</f>
        <v>2430</v>
      </c>
      <c r="B2433" s="2" t="s">
        <v>9</v>
      </c>
      <c r="C2433" s="2" t="str">
        <f>"1 (1)"</f>
        <v>1 (1)</v>
      </c>
      <c r="D2433" s="2" t="s">
        <v>8025</v>
      </c>
      <c r="E2433" s="5" t="s">
        <v>8026</v>
      </c>
      <c r="F2433" s="3" t="s">
        <v>8024</v>
      </c>
      <c r="G2433" s="3" t="s">
        <v>150</v>
      </c>
      <c r="H2433" s="2" t="str">
        <f>"2012"</f>
        <v>2012</v>
      </c>
      <c r="I2433" t="s">
        <v>14</v>
      </c>
      <c r="J2433" t="s">
        <v>15</v>
      </c>
    </row>
    <row r="2434" spans="1:10">
      <c r="A2434" s="2" t="str">
        <f>"2431"</f>
        <v>2431</v>
      </c>
      <c r="B2434" s="2" t="s">
        <v>9</v>
      </c>
      <c r="C2434" s="2" t="str">
        <f>"1 (1)"</f>
        <v>1 (1)</v>
      </c>
      <c r="D2434" s="2" t="s">
        <v>8027</v>
      </c>
      <c r="E2434" s="5" t="s">
        <v>8028</v>
      </c>
      <c r="F2434" s="3" t="s">
        <v>8024</v>
      </c>
      <c r="G2434" s="3" t="s">
        <v>150</v>
      </c>
      <c r="H2434" s="2" t="str">
        <f>"2012"</f>
        <v>2012</v>
      </c>
      <c r="I2434" t="s">
        <v>14</v>
      </c>
      <c r="J2434" t="s">
        <v>15</v>
      </c>
    </row>
    <row r="2435" spans="1:10">
      <c r="A2435" s="2" t="str">
        <f>"2432"</f>
        <v>2432</v>
      </c>
      <c r="B2435" s="2" t="s">
        <v>9</v>
      </c>
      <c r="C2435" s="2" t="str">
        <f>"1 (1)"</f>
        <v>1 (1)</v>
      </c>
      <c r="D2435" s="2" t="s">
        <v>8029</v>
      </c>
      <c r="E2435" s="5" t="s">
        <v>8030</v>
      </c>
      <c r="F2435" s="3" t="s">
        <v>8031</v>
      </c>
      <c r="G2435" s="3" t="s">
        <v>6859</v>
      </c>
      <c r="H2435" s="2" t="str">
        <f>"2010"</f>
        <v>2010</v>
      </c>
      <c r="I2435" t="s">
        <v>14</v>
      </c>
      <c r="J2435" t="s">
        <v>15</v>
      </c>
    </row>
    <row r="2436" spans="1:10">
      <c r="A2436" s="2" t="str">
        <f>"2433"</f>
        <v>2433</v>
      </c>
      <c r="B2436" s="2" t="s">
        <v>9</v>
      </c>
      <c r="C2436" s="2" t="str">
        <f>"1 (1)"</f>
        <v>1 (1)</v>
      </c>
      <c r="D2436" s="2" t="s">
        <v>8032</v>
      </c>
      <c r="E2436" s="5" t="s">
        <v>8033</v>
      </c>
      <c r="F2436" s="3" t="s">
        <v>8031</v>
      </c>
      <c r="G2436" s="3" t="s">
        <v>6859</v>
      </c>
      <c r="H2436" s="2" t="str">
        <f>"2010"</f>
        <v>2010</v>
      </c>
      <c r="I2436" t="s">
        <v>14</v>
      </c>
      <c r="J2436" t="s">
        <v>15</v>
      </c>
    </row>
    <row r="2437" spans="1:10">
      <c r="A2437" s="2" t="str">
        <f>"2434"</f>
        <v>2434</v>
      </c>
      <c r="B2437" s="2" t="s">
        <v>9</v>
      </c>
      <c r="C2437" s="2" t="str">
        <f>"1 (1)"</f>
        <v>1 (1)</v>
      </c>
      <c r="D2437" s="2" t="s">
        <v>8034</v>
      </c>
      <c r="E2437" s="5" t="s">
        <v>8035</v>
      </c>
      <c r="F2437" s="3" t="s">
        <v>8031</v>
      </c>
      <c r="G2437" s="3" t="s">
        <v>6859</v>
      </c>
      <c r="H2437" s="2" t="str">
        <f>"2010"</f>
        <v>2010</v>
      </c>
      <c r="I2437" t="s">
        <v>14</v>
      </c>
      <c r="J2437" t="s">
        <v>15</v>
      </c>
    </row>
    <row r="2438" spans="1:10">
      <c r="A2438" s="2" t="str">
        <f>"2435"</f>
        <v>2435</v>
      </c>
      <c r="B2438" s="2" t="s">
        <v>9</v>
      </c>
      <c r="C2438" s="2" t="str">
        <f>"1 (1)"</f>
        <v>1 (1)</v>
      </c>
      <c r="D2438" s="2" t="s">
        <v>8036</v>
      </c>
      <c r="E2438" s="5" t="s">
        <v>8037</v>
      </c>
      <c r="F2438" s="3" t="s">
        <v>8031</v>
      </c>
      <c r="G2438" s="3" t="s">
        <v>6859</v>
      </c>
      <c r="H2438" s="2" t="str">
        <f>"2010"</f>
        <v>2010</v>
      </c>
      <c r="I2438" t="s">
        <v>14</v>
      </c>
      <c r="J2438" t="s">
        <v>15</v>
      </c>
    </row>
    <row r="2439" spans="1:10">
      <c r="A2439" s="2" t="str">
        <f>"2436"</f>
        <v>2436</v>
      </c>
      <c r="B2439" s="2" t="s">
        <v>9</v>
      </c>
      <c r="C2439" s="2" t="str">
        <f>"1 (1)"</f>
        <v>1 (1)</v>
      </c>
      <c r="D2439" s="2" t="s">
        <v>8038</v>
      </c>
      <c r="E2439" s="5" t="s">
        <v>8039</v>
      </c>
      <c r="F2439" s="3" t="s">
        <v>8040</v>
      </c>
      <c r="G2439" s="3" t="s">
        <v>6859</v>
      </c>
      <c r="H2439" s="2" t="str">
        <f>"2010"</f>
        <v>2010</v>
      </c>
      <c r="I2439" t="s">
        <v>14</v>
      </c>
      <c r="J2439" t="s">
        <v>15</v>
      </c>
    </row>
    <row r="2440" spans="1:10">
      <c r="A2440" s="2" t="str">
        <f>"2437"</f>
        <v>2437</v>
      </c>
      <c r="B2440" s="2" t="s">
        <v>9</v>
      </c>
      <c r="C2440" s="2" t="str">
        <f>"1 (1)"</f>
        <v>1 (1)</v>
      </c>
      <c r="D2440" s="2" t="s">
        <v>8041</v>
      </c>
      <c r="E2440" s="5" t="s">
        <v>8042</v>
      </c>
      <c r="F2440" s="3" t="s">
        <v>8031</v>
      </c>
      <c r="G2440" s="3" t="s">
        <v>6859</v>
      </c>
      <c r="H2440" s="2" t="str">
        <f>"2010"</f>
        <v>2010</v>
      </c>
      <c r="I2440" t="s">
        <v>14</v>
      </c>
      <c r="J2440" t="s">
        <v>15</v>
      </c>
    </row>
    <row r="2441" spans="1:10">
      <c r="A2441" s="2" t="str">
        <f>"2438"</f>
        <v>2438</v>
      </c>
      <c r="B2441" s="2" t="s">
        <v>9</v>
      </c>
      <c r="C2441" s="2" t="str">
        <f>"1 (1)"</f>
        <v>1 (1)</v>
      </c>
      <c r="D2441" s="2" t="s">
        <v>8043</v>
      </c>
      <c r="E2441" s="5" t="s">
        <v>8044</v>
      </c>
      <c r="F2441" s="3" t="s">
        <v>8031</v>
      </c>
      <c r="G2441" s="3" t="s">
        <v>6859</v>
      </c>
      <c r="H2441" s="2" t="str">
        <f>"2010"</f>
        <v>2010</v>
      </c>
      <c r="I2441" t="s">
        <v>14</v>
      </c>
      <c r="J2441" t="s">
        <v>15</v>
      </c>
    </row>
    <row r="2442" spans="1:10">
      <c r="A2442" s="2" t="str">
        <f>"2439"</f>
        <v>2439</v>
      </c>
      <c r="B2442" s="2" t="s">
        <v>9</v>
      </c>
      <c r="C2442" s="2" t="str">
        <f>"1 (1)"</f>
        <v>1 (1)</v>
      </c>
      <c r="D2442" s="2" t="s">
        <v>8045</v>
      </c>
      <c r="E2442" s="5" t="s">
        <v>8046</v>
      </c>
      <c r="F2442" s="3" t="s">
        <v>8047</v>
      </c>
      <c r="G2442" s="3" t="s">
        <v>6859</v>
      </c>
      <c r="H2442" s="2" t="str">
        <f>"2010"</f>
        <v>2010</v>
      </c>
      <c r="I2442" t="s">
        <v>14</v>
      </c>
      <c r="J2442" t="s">
        <v>15</v>
      </c>
    </row>
    <row r="2443" spans="1:10">
      <c r="A2443" s="2" t="str">
        <f>"2440"</f>
        <v>2440</v>
      </c>
      <c r="B2443" s="2" t="s">
        <v>9</v>
      </c>
      <c r="C2443" s="2" t="str">
        <f>"1 (1)"</f>
        <v>1 (1)</v>
      </c>
      <c r="D2443" s="2" t="s">
        <v>8048</v>
      </c>
      <c r="E2443" s="5" t="s">
        <v>8049</v>
      </c>
      <c r="F2443" s="3" t="s">
        <v>8031</v>
      </c>
      <c r="G2443" s="3" t="s">
        <v>6859</v>
      </c>
      <c r="H2443" s="2" t="str">
        <f>"2010"</f>
        <v>2010</v>
      </c>
      <c r="I2443" t="s">
        <v>14</v>
      </c>
      <c r="J2443" t="s">
        <v>15</v>
      </c>
    </row>
    <row r="2444" spans="1:10">
      <c r="A2444" s="2" t="str">
        <f>"2441"</f>
        <v>2441</v>
      </c>
      <c r="B2444" s="2" t="s">
        <v>9</v>
      </c>
      <c r="C2444" s="2" t="str">
        <f>"1 (1)"</f>
        <v>1 (1)</v>
      </c>
      <c r="D2444" s="2" t="s">
        <v>8050</v>
      </c>
      <c r="E2444" s="5" t="s">
        <v>8051</v>
      </c>
      <c r="F2444" s="3" t="s">
        <v>8031</v>
      </c>
      <c r="G2444" s="3" t="s">
        <v>6859</v>
      </c>
      <c r="H2444" s="2" t="str">
        <f>"2010"</f>
        <v>2010</v>
      </c>
      <c r="I2444" t="s">
        <v>14</v>
      </c>
      <c r="J2444" t="s">
        <v>15</v>
      </c>
    </row>
    <row r="2445" spans="1:10">
      <c r="A2445" s="2" t="str">
        <f>"2442"</f>
        <v>2442</v>
      </c>
      <c r="B2445" s="2" t="s">
        <v>9</v>
      </c>
      <c r="C2445" s="2" t="str">
        <f>"1 (1)"</f>
        <v>1 (1)</v>
      </c>
      <c r="D2445" s="2" t="s">
        <v>8052</v>
      </c>
      <c r="E2445" s="5" t="s">
        <v>8053</v>
      </c>
      <c r="F2445" s="3" t="s">
        <v>8031</v>
      </c>
      <c r="G2445" s="3" t="s">
        <v>6859</v>
      </c>
      <c r="H2445" s="2" t="str">
        <f>"2005"</f>
        <v>2005</v>
      </c>
      <c r="I2445" t="s">
        <v>14</v>
      </c>
      <c r="J2445" t="s">
        <v>15</v>
      </c>
    </row>
    <row r="2446" spans="1:10">
      <c r="A2446" s="2" t="str">
        <f>"2443"</f>
        <v>2443</v>
      </c>
      <c r="B2446" s="2" t="s">
        <v>9</v>
      </c>
      <c r="C2446" s="2" t="str">
        <f>"1 (1)"</f>
        <v>1 (1)</v>
      </c>
      <c r="D2446" s="2" t="s">
        <v>8054</v>
      </c>
      <c r="E2446" s="5" t="s">
        <v>8055</v>
      </c>
      <c r="F2446" s="3" t="s">
        <v>8031</v>
      </c>
      <c r="G2446" s="3" t="s">
        <v>6859</v>
      </c>
      <c r="H2446" s="2" t="str">
        <f>"2010"</f>
        <v>2010</v>
      </c>
      <c r="I2446" t="s">
        <v>14</v>
      </c>
      <c r="J2446" t="s">
        <v>15</v>
      </c>
    </row>
    <row r="2447" spans="1:10">
      <c r="A2447" s="2" t="str">
        <f>"2444"</f>
        <v>2444</v>
      </c>
      <c r="B2447" s="2" t="s">
        <v>9</v>
      </c>
      <c r="C2447" s="2" t="str">
        <f>"1 (1)"</f>
        <v>1 (1)</v>
      </c>
      <c r="D2447" s="2" t="s">
        <v>8056</v>
      </c>
      <c r="E2447" s="5" t="s">
        <v>8057</v>
      </c>
      <c r="F2447" s="3" t="s">
        <v>8031</v>
      </c>
      <c r="G2447" s="3" t="s">
        <v>6859</v>
      </c>
      <c r="H2447" s="2" t="str">
        <f>"2010"</f>
        <v>2010</v>
      </c>
      <c r="I2447" t="s">
        <v>14</v>
      </c>
      <c r="J2447" t="s">
        <v>15</v>
      </c>
    </row>
    <row r="2448" spans="1:10">
      <c r="A2448" s="2" t="str">
        <f>"2445"</f>
        <v>2445</v>
      </c>
      <c r="B2448" s="2" t="s">
        <v>9</v>
      </c>
      <c r="C2448" s="2" t="str">
        <f>"1 (1)"</f>
        <v>1 (1)</v>
      </c>
      <c r="D2448" s="2" t="s">
        <v>8058</v>
      </c>
      <c r="E2448" s="5" t="s">
        <v>8059</v>
      </c>
      <c r="F2448" s="3" t="s">
        <v>8031</v>
      </c>
      <c r="G2448" s="3" t="s">
        <v>6859</v>
      </c>
      <c r="H2448" s="2" t="str">
        <f>"2010"</f>
        <v>2010</v>
      </c>
      <c r="I2448" t="s">
        <v>14</v>
      </c>
      <c r="J2448" t="s">
        <v>15</v>
      </c>
    </row>
    <row r="2449" spans="1:10">
      <c r="A2449" s="2" t="str">
        <f>"2446"</f>
        <v>2446</v>
      </c>
      <c r="B2449" s="2" t="s">
        <v>9</v>
      </c>
      <c r="C2449" s="2" t="str">
        <f>"1 (1)"</f>
        <v>1 (1)</v>
      </c>
      <c r="D2449" s="2" t="s">
        <v>8060</v>
      </c>
      <c r="E2449" s="5" t="s">
        <v>8061</v>
      </c>
      <c r="F2449" s="3" t="s">
        <v>8031</v>
      </c>
      <c r="G2449" s="3" t="s">
        <v>6859</v>
      </c>
      <c r="H2449" s="2" t="str">
        <f>"2010"</f>
        <v>2010</v>
      </c>
      <c r="I2449" t="s">
        <v>14</v>
      </c>
      <c r="J2449" t="s">
        <v>15</v>
      </c>
    </row>
    <row r="2450" spans="1:10">
      <c r="A2450" s="2" t="str">
        <f>"2447"</f>
        <v>2447</v>
      </c>
      <c r="B2450" s="2" t="s">
        <v>9</v>
      </c>
      <c r="C2450" s="2" t="str">
        <f>"1 (1)"</f>
        <v>1 (1)</v>
      </c>
      <c r="D2450" s="2" t="s">
        <v>8062</v>
      </c>
      <c r="E2450" s="5" t="s">
        <v>8063</v>
      </c>
      <c r="F2450" s="3" t="s">
        <v>8031</v>
      </c>
      <c r="G2450" s="3" t="s">
        <v>6859</v>
      </c>
      <c r="H2450" s="2" t="str">
        <f>"2010"</f>
        <v>2010</v>
      </c>
      <c r="I2450" t="s">
        <v>14</v>
      </c>
      <c r="J2450" t="s">
        <v>15</v>
      </c>
    </row>
    <row r="2451" spans="1:10">
      <c r="A2451" s="2" t="str">
        <f>"2448"</f>
        <v>2448</v>
      </c>
      <c r="B2451" s="2" t="s">
        <v>9</v>
      </c>
      <c r="C2451" s="2" t="str">
        <f>"1 (1)"</f>
        <v>1 (1)</v>
      </c>
      <c r="D2451" s="2" t="s">
        <v>8064</v>
      </c>
      <c r="E2451" s="5" t="s">
        <v>8065</v>
      </c>
      <c r="F2451" s="3" t="s">
        <v>8031</v>
      </c>
      <c r="G2451" s="3" t="s">
        <v>6859</v>
      </c>
      <c r="H2451" s="2" t="str">
        <f>"2010"</f>
        <v>2010</v>
      </c>
      <c r="I2451" t="s">
        <v>14</v>
      </c>
      <c r="J2451" t="s">
        <v>15</v>
      </c>
    </row>
    <row r="2452" spans="1:10">
      <c r="A2452" s="2" t="str">
        <f>"2449"</f>
        <v>2449</v>
      </c>
      <c r="B2452" s="2" t="s">
        <v>9</v>
      </c>
      <c r="C2452" s="2" t="str">
        <f>"1 (1)"</f>
        <v>1 (1)</v>
      </c>
      <c r="D2452" s="2" t="s">
        <v>8066</v>
      </c>
      <c r="E2452" s="5" t="s">
        <v>8067</v>
      </c>
      <c r="F2452" s="3" t="s">
        <v>8031</v>
      </c>
      <c r="G2452" s="3" t="s">
        <v>6859</v>
      </c>
      <c r="H2452" s="2" t="str">
        <f>"2010"</f>
        <v>2010</v>
      </c>
      <c r="I2452" t="s">
        <v>14</v>
      </c>
      <c r="J2452" t="s">
        <v>15</v>
      </c>
    </row>
    <row r="2453" spans="1:10">
      <c r="A2453" s="2" t="str">
        <f>"2450"</f>
        <v>2450</v>
      </c>
      <c r="B2453" s="2" t="s">
        <v>9</v>
      </c>
      <c r="C2453" s="2" t="str">
        <f>"1 (1)"</f>
        <v>1 (1)</v>
      </c>
      <c r="D2453" s="2" t="s">
        <v>8068</v>
      </c>
      <c r="E2453" s="5" t="s">
        <v>8069</v>
      </c>
      <c r="F2453" s="3" t="s">
        <v>8031</v>
      </c>
      <c r="G2453" s="3" t="s">
        <v>6859</v>
      </c>
      <c r="H2453" s="2" t="str">
        <f>"2010"</f>
        <v>2010</v>
      </c>
      <c r="I2453" t="s">
        <v>14</v>
      </c>
      <c r="J2453" t="s">
        <v>15</v>
      </c>
    </row>
    <row r="2454" spans="1:10">
      <c r="A2454" s="2" t="str">
        <f>"2451"</f>
        <v>2451</v>
      </c>
      <c r="B2454" s="2" t="s">
        <v>9</v>
      </c>
      <c r="C2454" s="2" t="str">
        <f>"1 (1)"</f>
        <v>1 (1)</v>
      </c>
      <c r="D2454" s="2" t="s">
        <v>8070</v>
      </c>
      <c r="E2454" s="5" t="s">
        <v>8071</v>
      </c>
      <c r="F2454" s="3" t="s">
        <v>8031</v>
      </c>
      <c r="G2454" s="3" t="s">
        <v>6859</v>
      </c>
      <c r="H2454" s="2" t="str">
        <f>"2010"</f>
        <v>2010</v>
      </c>
      <c r="I2454" t="s">
        <v>14</v>
      </c>
      <c r="J2454" t="s">
        <v>15</v>
      </c>
    </row>
    <row r="2455" spans="1:10">
      <c r="A2455" s="2" t="str">
        <f>"2452"</f>
        <v>2452</v>
      </c>
      <c r="B2455" s="2" t="s">
        <v>9</v>
      </c>
      <c r="C2455" s="2" t="str">
        <f>"1 (1)"</f>
        <v>1 (1)</v>
      </c>
      <c r="D2455" s="2" t="s">
        <v>8072</v>
      </c>
      <c r="E2455" s="5" t="s">
        <v>8073</v>
      </c>
      <c r="F2455" s="3" t="s">
        <v>8074</v>
      </c>
      <c r="G2455" s="3" t="s">
        <v>1997</v>
      </c>
      <c r="H2455" s="2" t="str">
        <f>"2008"</f>
        <v>2008</v>
      </c>
      <c r="I2455" t="s">
        <v>14</v>
      </c>
      <c r="J2455" t="s">
        <v>15</v>
      </c>
    </row>
    <row r="2456" spans="1:10">
      <c r="A2456" s="2" t="str">
        <f>"2453"</f>
        <v>2453</v>
      </c>
      <c r="B2456" s="2" t="s">
        <v>9</v>
      </c>
      <c r="C2456" s="2" t="str">
        <f>"1 (1)"</f>
        <v>1 (1)</v>
      </c>
      <c r="D2456" s="2" t="s">
        <v>8075</v>
      </c>
      <c r="E2456" s="5" t="s">
        <v>8076</v>
      </c>
      <c r="F2456" s="3" t="s">
        <v>8074</v>
      </c>
      <c r="G2456" s="3" t="s">
        <v>1997</v>
      </c>
      <c r="H2456" s="2" t="str">
        <f>"2008"</f>
        <v>2008</v>
      </c>
      <c r="I2456" t="s">
        <v>14</v>
      </c>
      <c r="J2456" t="s">
        <v>15</v>
      </c>
    </row>
    <row r="2457" spans="1:10">
      <c r="A2457" s="2" t="str">
        <f>"2454"</f>
        <v>2454</v>
      </c>
      <c r="B2457" s="2" t="s">
        <v>9</v>
      </c>
      <c r="C2457" s="2" t="str">
        <f>"1 (1)"</f>
        <v>1 (1)</v>
      </c>
      <c r="D2457" s="2" t="s">
        <v>8077</v>
      </c>
      <c r="E2457" s="5" t="s">
        <v>8078</v>
      </c>
      <c r="F2457" s="3" t="s">
        <v>8079</v>
      </c>
      <c r="G2457" s="3" t="s">
        <v>1997</v>
      </c>
      <c r="H2457" s="2" t="str">
        <f>"2008"</f>
        <v>2008</v>
      </c>
      <c r="I2457" t="s">
        <v>14</v>
      </c>
      <c r="J2457" t="s">
        <v>15</v>
      </c>
    </row>
    <row r="2458" spans="1:10">
      <c r="A2458" s="2" t="str">
        <f>"2455"</f>
        <v>2455</v>
      </c>
      <c r="B2458" s="2" t="s">
        <v>9</v>
      </c>
      <c r="C2458" s="2" t="str">
        <f>"1 (1)"</f>
        <v>1 (1)</v>
      </c>
      <c r="D2458" s="2" t="s">
        <v>8080</v>
      </c>
      <c r="E2458" s="5" t="s">
        <v>8081</v>
      </c>
      <c r="F2458" s="3" t="s">
        <v>8074</v>
      </c>
      <c r="G2458" s="3" t="s">
        <v>1997</v>
      </c>
      <c r="H2458" s="2" t="str">
        <f>"2008"</f>
        <v>2008</v>
      </c>
      <c r="I2458" t="s">
        <v>14</v>
      </c>
      <c r="J2458" t="s">
        <v>15</v>
      </c>
    </row>
    <row r="2459" spans="1:10">
      <c r="A2459" s="2" t="str">
        <f>"2456"</f>
        <v>2456</v>
      </c>
      <c r="B2459" s="2" t="s">
        <v>9</v>
      </c>
      <c r="C2459" s="2" t="str">
        <f>"1 (1)"</f>
        <v>1 (1)</v>
      </c>
      <c r="D2459" s="2" t="s">
        <v>8082</v>
      </c>
      <c r="E2459" s="5" t="s">
        <v>8083</v>
      </c>
      <c r="F2459" s="3" t="s">
        <v>8079</v>
      </c>
      <c r="G2459" s="3" t="s">
        <v>1997</v>
      </c>
      <c r="H2459" s="2" t="str">
        <f>"2008"</f>
        <v>2008</v>
      </c>
      <c r="I2459" t="s">
        <v>14</v>
      </c>
      <c r="J2459" t="s">
        <v>15</v>
      </c>
    </row>
    <row r="2460" spans="1:10">
      <c r="A2460" s="2" t="str">
        <f>"2457"</f>
        <v>2457</v>
      </c>
      <c r="B2460" s="2" t="s">
        <v>9</v>
      </c>
      <c r="C2460" s="2" t="str">
        <f>"1 (1)"</f>
        <v>1 (1)</v>
      </c>
      <c r="D2460" s="2" t="s">
        <v>8084</v>
      </c>
      <c r="E2460" s="5" t="s">
        <v>8085</v>
      </c>
      <c r="F2460" s="3" t="s">
        <v>8074</v>
      </c>
      <c r="G2460" s="3" t="s">
        <v>8086</v>
      </c>
      <c r="H2460" s="2" t="str">
        <f>"2006"</f>
        <v>2006</v>
      </c>
      <c r="I2460" t="s">
        <v>14</v>
      </c>
      <c r="J2460" t="s">
        <v>15</v>
      </c>
    </row>
    <row r="2461" spans="1:10">
      <c r="A2461" s="2" t="str">
        <f>"2458"</f>
        <v>2458</v>
      </c>
      <c r="B2461" s="2" t="s">
        <v>9</v>
      </c>
      <c r="C2461" s="2" t="str">
        <f>"1 (1)"</f>
        <v>1 (1)</v>
      </c>
      <c r="D2461" s="2" t="s">
        <v>8087</v>
      </c>
      <c r="E2461" s="5" t="s">
        <v>8088</v>
      </c>
      <c r="F2461" s="3" t="s">
        <v>8074</v>
      </c>
      <c r="G2461" s="3" t="s">
        <v>8086</v>
      </c>
      <c r="H2461" s="2" t="str">
        <f>"2006"</f>
        <v>2006</v>
      </c>
      <c r="I2461" t="s">
        <v>14</v>
      </c>
      <c r="J2461" t="s">
        <v>15</v>
      </c>
    </row>
    <row r="2462" spans="1:10">
      <c r="A2462" s="2" t="str">
        <f>"2459"</f>
        <v>2459</v>
      </c>
      <c r="B2462" s="2" t="s">
        <v>9</v>
      </c>
      <c r="C2462" s="2" t="str">
        <f>"1 (1)"</f>
        <v>1 (1)</v>
      </c>
      <c r="D2462" s="2" t="s">
        <v>8089</v>
      </c>
      <c r="E2462" s="5" t="s">
        <v>8090</v>
      </c>
      <c r="F2462" s="3" t="s">
        <v>8074</v>
      </c>
      <c r="G2462" s="3" t="s">
        <v>8086</v>
      </c>
      <c r="H2462" s="2" t="str">
        <f>"2006"</f>
        <v>2006</v>
      </c>
      <c r="I2462" t="s">
        <v>14</v>
      </c>
      <c r="J2462" t="s">
        <v>15</v>
      </c>
    </row>
    <row r="2463" spans="1:10">
      <c r="A2463" s="2" t="str">
        <f>"2460"</f>
        <v>2460</v>
      </c>
      <c r="B2463" s="2" t="s">
        <v>9</v>
      </c>
      <c r="C2463" s="2" t="str">
        <f>"1 (1)"</f>
        <v>1 (1)</v>
      </c>
      <c r="D2463" s="2" t="s">
        <v>8091</v>
      </c>
      <c r="E2463" s="5" t="s">
        <v>8092</v>
      </c>
      <c r="F2463" s="3" t="s">
        <v>8074</v>
      </c>
      <c r="G2463" s="3" t="s">
        <v>8086</v>
      </c>
      <c r="H2463" s="2" t="str">
        <f>"2006"</f>
        <v>2006</v>
      </c>
      <c r="I2463" t="s">
        <v>14</v>
      </c>
      <c r="J2463" t="s">
        <v>15</v>
      </c>
    </row>
    <row r="2464" spans="1:10">
      <c r="A2464" s="2" t="str">
        <f>"2461"</f>
        <v>2461</v>
      </c>
      <c r="B2464" s="2" t="s">
        <v>9</v>
      </c>
      <c r="C2464" s="2" t="str">
        <f>"1 (1)"</f>
        <v>1 (1)</v>
      </c>
      <c r="D2464" s="2" t="s">
        <v>8093</v>
      </c>
      <c r="E2464" s="5" t="s">
        <v>8094</v>
      </c>
      <c r="F2464" s="3" t="s">
        <v>8095</v>
      </c>
      <c r="G2464" s="3" t="s">
        <v>8086</v>
      </c>
      <c r="H2464" s="2" t="str">
        <f>"2006"</f>
        <v>2006</v>
      </c>
      <c r="I2464" t="s">
        <v>14</v>
      </c>
      <c r="J2464" t="s">
        <v>15</v>
      </c>
    </row>
    <row r="2465" spans="1:10">
      <c r="A2465" s="2" t="str">
        <f>"2462"</f>
        <v>2462</v>
      </c>
      <c r="B2465" s="2" t="s">
        <v>9</v>
      </c>
      <c r="C2465" s="2" t="str">
        <f>"1 (1)"</f>
        <v>1 (1)</v>
      </c>
      <c r="D2465" s="2" t="s">
        <v>8096</v>
      </c>
      <c r="E2465" s="5" t="s">
        <v>8097</v>
      </c>
      <c r="F2465" s="3" t="s">
        <v>8095</v>
      </c>
      <c r="G2465" s="3" t="s">
        <v>8086</v>
      </c>
      <c r="H2465" s="2" t="str">
        <f>"2006"</f>
        <v>2006</v>
      </c>
      <c r="I2465" t="s">
        <v>14</v>
      </c>
      <c r="J2465" t="s">
        <v>15</v>
      </c>
    </row>
    <row r="2466" spans="1:10">
      <c r="A2466" s="2" t="str">
        <f>"2463"</f>
        <v>2463</v>
      </c>
      <c r="B2466" s="2" t="s">
        <v>9</v>
      </c>
      <c r="C2466" s="2" t="str">
        <f>"1 (1)"</f>
        <v>1 (1)</v>
      </c>
      <c r="D2466" s="2" t="s">
        <v>8098</v>
      </c>
      <c r="E2466" s="5" t="s">
        <v>8099</v>
      </c>
      <c r="F2466" s="3" t="s">
        <v>8095</v>
      </c>
      <c r="G2466" s="3" t="s">
        <v>8086</v>
      </c>
      <c r="H2466" s="2" t="str">
        <f>"2006"</f>
        <v>2006</v>
      </c>
      <c r="I2466" t="s">
        <v>14</v>
      </c>
      <c r="J2466" t="s">
        <v>15</v>
      </c>
    </row>
    <row r="2467" spans="1:10">
      <c r="A2467" s="2" t="str">
        <f>"2464"</f>
        <v>2464</v>
      </c>
      <c r="B2467" s="2" t="s">
        <v>9</v>
      </c>
      <c r="C2467" s="2" t="str">
        <f>"1 (1)"</f>
        <v>1 (1)</v>
      </c>
      <c r="D2467" s="2" t="s">
        <v>8100</v>
      </c>
      <c r="E2467" s="5" t="s">
        <v>8101</v>
      </c>
      <c r="F2467" s="3" t="s">
        <v>8102</v>
      </c>
      <c r="G2467" s="3" t="s">
        <v>1997</v>
      </c>
      <c r="H2467" s="2" t="str">
        <f>"2008"</f>
        <v>2008</v>
      </c>
      <c r="I2467" t="s">
        <v>14</v>
      </c>
      <c r="J2467" t="s">
        <v>15</v>
      </c>
    </row>
    <row r="2468" spans="1:10">
      <c r="A2468" s="2" t="str">
        <f>"2465"</f>
        <v>2465</v>
      </c>
      <c r="B2468" s="2" t="s">
        <v>9</v>
      </c>
      <c r="C2468" s="2" t="str">
        <f>"1 (1)"</f>
        <v>1 (1)</v>
      </c>
      <c r="D2468" s="2" t="s">
        <v>8103</v>
      </c>
      <c r="E2468" s="5" t="s">
        <v>8104</v>
      </c>
      <c r="F2468" s="3" t="s">
        <v>8102</v>
      </c>
      <c r="G2468" s="3" t="s">
        <v>1997</v>
      </c>
      <c r="H2468" s="2" t="str">
        <f>"2008"</f>
        <v>2008</v>
      </c>
      <c r="I2468" t="s">
        <v>14</v>
      </c>
      <c r="J2468" t="s">
        <v>15</v>
      </c>
    </row>
    <row r="2469" spans="1:10">
      <c r="A2469" s="2" t="str">
        <f>"2466"</f>
        <v>2466</v>
      </c>
      <c r="B2469" s="2" t="s">
        <v>9</v>
      </c>
      <c r="C2469" s="2" t="str">
        <f>"1 (1)"</f>
        <v>1 (1)</v>
      </c>
      <c r="D2469" s="2" t="s">
        <v>8105</v>
      </c>
      <c r="E2469" s="5" t="s">
        <v>8106</v>
      </c>
      <c r="F2469" s="3" t="s">
        <v>8107</v>
      </c>
      <c r="G2469" s="3" t="s">
        <v>1997</v>
      </c>
      <c r="H2469" s="2" t="str">
        <f>"2009"</f>
        <v>2009</v>
      </c>
      <c r="I2469" t="s">
        <v>14</v>
      </c>
      <c r="J2469" t="s">
        <v>15</v>
      </c>
    </row>
    <row r="2470" spans="1:10">
      <c r="A2470" s="2" t="str">
        <f>"2467"</f>
        <v>2467</v>
      </c>
      <c r="B2470" s="2" t="s">
        <v>9</v>
      </c>
      <c r="C2470" s="2" t="str">
        <f>"1 (1)"</f>
        <v>1 (1)</v>
      </c>
      <c r="D2470" s="2" t="s">
        <v>8108</v>
      </c>
      <c r="E2470" s="5" t="s">
        <v>8109</v>
      </c>
      <c r="F2470" s="3" t="s">
        <v>8110</v>
      </c>
      <c r="G2470" s="3" t="s">
        <v>1997</v>
      </c>
      <c r="H2470" s="2" t="str">
        <f>"2006"</f>
        <v>2006</v>
      </c>
      <c r="I2470" t="s">
        <v>14</v>
      </c>
      <c r="J2470" t="s">
        <v>15</v>
      </c>
    </row>
    <row r="2471" spans="1:10">
      <c r="A2471" s="2" t="str">
        <f>"2468"</f>
        <v>2468</v>
      </c>
      <c r="B2471" s="2" t="s">
        <v>9</v>
      </c>
      <c r="C2471" s="2" t="str">
        <f>"1 (1)"</f>
        <v>1 (1)</v>
      </c>
      <c r="D2471" s="2" t="s">
        <v>8111</v>
      </c>
      <c r="E2471" s="5" t="s">
        <v>8112</v>
      </c>
      <c r="F2471" s="3" t="s">
        <v>8113</v>
      </c>
      <c r="G2471" s="3" t="s">
        <v>1997</v>
      </c>
      <c r="H2471" s="2" t="str">
        <f>"2006"</f>
        <v>2006</v>
      </c>
      <c r="I2471" t="s">
        <v>14</v>
      </c>
      <c r="J2471" t="s">
        <v>15</v>
      </c>
    </row>
    <row r="2472" spans="1:10">
      <c r="A2472" s="2" t="str">
        <f>"2469"</f>
        <v>2469</v>
      </c>
      <c r="B2472" s="2" t="s">
        <v>9</v>
      </c>
      <c r="C2472" s="2" t="str">
        <f>"1 (1)"</f>
        <v>1 (1)</v>
      </c>
      <c r="D2472" s="2" t="s">
        <v>8114</v>
      </c>
      <c r="E2472" s="5" t="s">
        <v>8115</v>
      </c>
      <c r="F2472" s="3" t="s">
        <v>8113</v>
      </c>
      <c r="G2472" s="3" t="s">
        <v>1997</v>
      </c>
      <c r="H2472" s="2" t="str">
        <f>"2006"</f>
        <v>2006</v>
      </c>
      <c r="I2472" t="s">
        <v>14</v>
      </c>
      <c r="J2472" t="s">
        <v>15</v>
      </c>
    </row>
    <row r="2473" spans="1:10">
      <c r="A2473" s="2" t="str">
        <f>"2470"</f>
        <v>2470</v>
      </c>
      <c r="B2473" s="2" t="s">
        <v>9</v>
      </c>
      <c r="C2473" s="2" t="str">
        <f>"1 (1)"</f>
        <v>1 (1)</v>
      </c>
      <c r="D2473" s="2" t="s">
        <v>8116</v>
      </c>
      <c r="E2473" s="5" t="s">
        <v>8117</v>
      </c>
      <c r="F2473" s="3" t="s">
        <v>8118</v>
      </c>
      <c r="G2473" s="3" t="s">
        <v>394</v>
      </c>
      <c r="H2473" s="2" t="str">
        <f>"2011"</f>
        <v>2011</v>
      </c>
      <c r="I2473" t="s">
        <v>14</v>
      </c>
      <c r="J2473" t="s">
        <v>15</v>
      </c>
    </row>
    <row r="2474" spans="1:10">
      <c r="A2474" s="2" t="str">
        <f>"2471"</f>
        <v>2471</v>
      </c>
      <c r="B2474" s="2" t="s">
        <v>9</v>
      </c>
      <c r="C2474" s="2" t="str">
        <f>"1 (1)"</f>
        <v>1 (1)</v>
      </c>
      <c r="D2474" s="2" t="s">
        <v>8119</v>
      </c>
      <c r="E2474" s="5" t="s">
        <v>8120</v>
      </c>
      <c r="F2474" s="3" t="s">
        <v>8118</v>
      </c>
      <c r="G2474" s="3" t="s">
        <v>394</v>
      </c>
      <c r="H2474" s="2" t="str">
        <f>"2011"</f>
        <v>2011</v>
      </c>
      <c r="I2474" t="s">
        <v>14</v>
      </c>
      <c r="J2474" t="s">
        <v>15</v>
      </c>
    </row>
    <row r="2475" spans="1:10">
      <c r="A2475" s="2" t="str">
        <f>"2472"</f>
        <v>2472</v>
      </c>
      <c r="B2475" s="2" t="s">
        <v>9</v>
      </c>
      <c r="C2475" s="2" t="str">
        <f>"1 (1)"</f>
        <v>1 (1)</v>
      </c>
      <c r="D2475" s="2" t="s">
        <v>8121</v>
      </c>
      <c r="E2475" s="5" t="s">
        <v>8122</v>
      </c>
      <c r="F2475" s="3" t="s">
        <v>8123</v>
      </c>
      <c r="G2475" s="3" t="s">
        <v>394</v>
      </c>
      <c r="H2475" s="2" t="str">
        <f>"2012"</f>
        <v>2012</v>
      </c>
      <c r="I2475" t="s">
        <v>14</v>
      </c>
      <c r="J2475" t="s">
        <v>15</v>
      </c>
    </row>
    <row r="2476" spans="1:10">
      <c r="A2476" s="2" t="str">
        <f>"2473"</f>
        <v>2473</v>
      </c>
      <c r="B2476" s="2" t="s">
        <v>9</v>
      </c>
      <c r="C2476" s="2" t="str">
        <f>"1 (1)"</f>
        <v>1 (1)</v>
      </c>
      <c r="D2476" s="2" t="s">
        <v>8124</v>
      </c>
      <c r="E2476" s="5" t="s">
        <v>8125</v>
      </c>
      <c r="F2476" s="3" t="s">
        <v>8126</v>
      </c>
      <c r="G2476" s="3" t="s">
        <v>394</v>
      </c>
      <c r="H2476" s="2" t="str">
        <f>"2012"</f>
        <v>2012</v>
      </c>
      <c r="I2476" t="s">
        <v>14</v>
      </c>
      <c r="J2476" t="s">
        <v>15</v>
      </c>
    </row>
    <row r="2477" spans="1:10">
      <c r="A2477" s="2" t="str">
        <f>"2474"</f>
        <v>2474</v>
      </c>
      <c r="B2477" s="2" t="s">
        <v>9</v>
      </c>
      <c r="C2477" s="2" t="str">
        <f>"1 (1)"</f>
        <v>1 (1)</v>
      </c>
      <c r="D2477" s="2" t="s">
        <v>8127</v>
      </c>
      <c r="E2477" s="5" t="s">
        <v>8128</v>
      </c>
      <c r="F2477" s="3" t="s">
        <v>8129</v>
      </c>
      <c r="G2477" s="3" t="s">
        <v>394</v>
      </c>
      <c r="H2477" s="2" t="str">
        <f>"2012"</f>
        <v>2012</v>
      </c>
      <c r="I2477" t="s">
        <v>14</v>
      </c>
      <c r="J2477" t="s">
        <v>15</v>
      </c>
    </row>
    <row r="2478" spans="1:10">
      <c r="A2478" s="2" t="str">
        <f>"2475"</f>
        <v>2475</v>
      </c>
      <c r="B2478" s="2" t="s">
        <v>9</v>
      </c>
      <c r="C2478" s="2" t="str">
        <f>"1 (1)"</f>
        <v>1 (1)</v>
      </c>
      <c r="D2478" s="2" t="s">
        <v>8130</v>
      </c>
      <c r="E2478" s="5" t="s">
        <v>8131</v>
      </c>
      <c r="F2478" s="3" t="s">
        <v>8132</v>
      </c>
      <c r="G2478" s="3" t="s">
        <v>394</v>
      </c>
      <c r="H2478" s="2" t="str">
        <f>"2012"</f>
        <v>2012</v>
      </c>
      <c r="I2478" t="s">
        <v>14</v>
      </c>
      <c r="J2478" t="s">
        <v>15</v>
      </c>
    </row>
    <row r="2479" spans="1:10">
      <c r="A2479" s="2" t="str">
        <f>"2476"</f>
        <v>2476</v>
      </c>
      <c r="B2479" s="2" t="s">
        <v>9</v>
      </c>
      <c r="C2479" s="2" t="str">
        <f>"1 (1)"</f>
        <v>1 (1)</v>
      </c>
      <c r="D2479" s="2" t="s">
        <v>8133</v>
      </c>
      <c r="E2479" s="5" t="s">
        <v>8134</v>
      </c>
      <c r="F2479" s="3" t="s">
        <v>8132</v>
      </c>
      <c r="G2479" s="3" t="s">
        <v>394</v>
      </c>
      <c r="H2479" s="2" t="str">
        <f>"2012"</f>
        <v>2012</v>
      </c>
      <c r="I2479" t="s">
        <v>14</v>
      </c>
      <c r="J2479" t="s">
        <v>15</v>
      </c>
    </row>
    <row r="2480" spans="1:10">
      <c r="A2480" s="2" t="str">
        <f>"2477"</f>
        <v>2477</v>
      </c>
      <c r="B2480" s="2" t="s">
        <v>9</v>
      </c>
      <c r="C2480" s="2" t="str">
        <f>"1 (1)"</f>
        <v>1 (1)</v>
      </c>
      <c r="D2480" s="2" t="s">
        <v>8135</v>
      </c>
      <c r="E2480" s="5" t="s">
        <v>8136</v>
      </c>
      <c r="F2480" s="3" t="s">
        <v>8137</v>
      </c>
      <c r="G2480" s="3" t="s">
        <v>394</v>
      </c>
      <c r="H2480" s="2" t="str">
        <f>"2013"</f>
        <v>2013</v>
      </c>
      <c r="I2480" t="s">
        <v>14</v>
      </c>
      <c r="J2480" t="s">
        <v>15</v>
      </c>
    </row>
    <row r="2481" spans="1:10">
      <c r="A2481" s="2" t="str">
        <f>"2478"</f>
        <v>2478</v>
      </c>
      <c r="B2481" s="2" t="s">
        <v>9</v>
      </c>
      <c r="C2481" s="2" t="str">
        <f>"1 (1)"</f>
        <v>1 (1)</v>
      </c>
      <c r="D2481" s="2" t="s">
        <v>8138</v>
      </c>
      <c r="E2481" s="5" t="s">
        <v>8139</v>
      </c>
      <c r="F2481" s="3" t="s">
        <v>8140</v>
      </c>
      <c r="G2481" s="3" t="s">
        <v>394</v>
      </c>
      <c r="H2481" s="2" t="str">
        <f>"2012"</f>
        <v>2012</v>
      </c>
      <c r="I2481" t="s">
        <v>14</v>
      </c>
      <c r="J2481" t="s">
        <v>15</v>
      </c>
    </row>
    <row r="2482" spans="1:10">
      <c r="A2482" s="2" t="str">
        <f>"2479"</f>
        <v>2479</v>
      </c>
      <c r="B2482" s="2" t="s">
        <v>9</v>
      </c>
      <c r="C2482" s="2" t="str">
        <f>"1 (1)"</f>
        <v>1 (1)</v>
      </c>
      <c r="D2482" s="2" t="s">
        <v>8141</v>
      </c>
      <c r="E2482" s="5" t="s">
        <v>8142</v>
      </c>
      <c r="F2482" s="3" t="s">
        <v>8143</v>
      </c>
      <c r="G2482" s="3" t="s">
        <v>394</v>
      </c>
      <c r="H2482" s="2" t="str">
        <f>"2013"</f>
        <v>2013</v>
      </c>
      <c r="I2482" t="s">
        <v>14</v>
      </c>
      <c r="J2482" t="s">
        <v>15</v>
      </c>
    </row>
    <row r="2483" spans="1:10">
      <c r="A2483" s="2" t="str">
        <f>"2480"</f>
        <v>2480</v>
      </c>
      <c r="B2483" s="2" t="s">
        <v>9</v>
      </c>
      <c r="C2483" s="2" t="str">
        <f>"1 (1)"</f>
        <v>1 (1)</v>
      </c>
      <c r="D2483" s="2" t="s">
        <v>8144</v>
      </c>
      <c r="E2483" s="5" t="s">
        <v>8145</v>
      </c>
      <c r="F2483" s="3" t="s">
        <v>8146</v>
      </c>
      <c r="G2483" s="3" t="s">
        <v>972</v>
      </c>
      <c r="H2483" s="2" t="str">
        <f>"2011"</f>
        <v>2011</v>
      </c>
      <c r="I2483" t="s">
        <v>14</v>
      </c>
      <c r="J2483" t="s">
        <v>15</v>
      </c>
    </row>
    <row r="2484" spans="1:10">
      <c r="A2484" s="2" t="str">
        <f>"2481"</f>
        <v>2481</v>
      </c>
      <c r="B2484" s="2" t="s">
        <v>9</v>
      </c>
      <c r="C2484" s="2" t="str">
        <f>"1 (1)"</f>
        <v>1 (1)</v>
      </c>
      <c r="D2484" s="2" t="s">
        <v>8147</v>
      </c>
      <c r="E2484" s="5" t="s">
        <v>8148</v>
      </c>
      <c r="F2484" s="3" t="s">
        <v>8146</v>
      </c>
      <c r="G2484" s="3" t="s">
        <v>972</v>
      </c>
      <c r="H2484" s="2" t="str">
        <f>"2011"</f>
        <v>2011</v>
      </c>
      <c r="I2484" t="s">
        <v>14</v>
      </c>
      <c r="J2484" t="s">
        <v>15</v>
      </c>
    </row>
    <row r="2485" spans="1:10">
      <c r="A2485" s="2" t="str">
        <f>"2482"</f>
        <v>2482</v>
      </c>
      <c r="B2485" s="2" t="s">
        <v>9</v>
      </c>
      <c r="C2485" s="2" t="str">
        <f>"1 (1)"</f>
        <v>1 (1)</v>
      </c>
      <c r="D2485" s="2" t="s">
        <v>8149</v>
      </c>
      <c r="E2485" s="5" t="s">
        <v>8150</v>
      </c>
      <c r="F2485" s="3" t="s">
        <v>8146</v>
      </c>
      <c r="G2485" s="3" t="s">
        <v>972</v>
      </c>
      <c r="H2485" s="2" t="str">
        <f>"2011"</f>
        <v>2011</v>
      </c>
      <c r="I2485" t="s">
        <v>14</v>
      </c>
      <c r="J2485" t="s">
        <v>15</v>
      </c>
    </row>
    <row r="2486" spans="1:10">
      <c r="A2486" s="2" t="str">
        <f>"2483"</f>
        <v>2483</v>
      </c>
      <c r="B2486" s="2" t="s">
        <v>9</v>
      </c>
      <c r="C2486" s="2" t="str">
        <f>"1 (1)"</f>
        <v>1 (1)</v>
      </c>
      <c r="D2486" s="2" t="s">
        <v>8151</v>
      </c>
      <c r="E2486" s="5" t="s">
        <v>8152</v>
      </c>
      <c r="F2486" s="3" t="s">
        <v>8146</v>
      </c>
      <c r="G2486" s="3" t="s">
        <v>972</v>
      </c>
      <c r="H2486" s="2" t="str">
        <f>"2011"</f>
        <v>2011</v>
      </c>
      <c r="I2486" t="s">
        <v>14</v>
      </c>
      <c r="J2486" t="s">
        <v>15</v>
      </c>
    </row>
    <row r="2487" spans="1:10">
      <c r="A2487" s="2" t="str">
        <f>"2484"</f>
        <v>2484</v>
      </c>
      <c r="B2487" s="2" t="s">
        <v>9</v>
      </c>
      <c r="C2487" s="2" t="str">
        <f>"1 (1)"</f>
        <v>1 (1)</v>
      </c>
      <c r="D2487" s="2" t="s">
        <v>8153</v>
      </c>
      <c r="E2487" s="5" t="s">
        <v>8154</v>
      </c>
      <c r="F2487" s="3" t="s">
        <v>8146</v>
      </c>
      <c r="G2487" s="3" t="s">
        <v>972</v>
      </c>
      <c r="H2487" s="2" t="str">
        <f>"2011"</f>
        <v>2011</v>
      </c>
      <c r="I2487" t="s">
        <v>14</v>
      </c>
      <c r="J2487" t="s">
        <v>15</v>
      </c>
    </row>
    <row r="2488" spans="1:10">
      <c r="A2488" s="2" t="str">
        <f>"2485"</f>
        <v>2485</v>
      </c>
      <c r="B2488" s="2" t="s">
        <v>9</v>
      </c>
      <c r="C2488" s="2" t="str">
        <f>"1 (1)"</f>
        <v>1 (1)</v>
      </c>
      <c r="D2488" s="2" t="s">
        <v>8155</v>
      </c>
      <c r="E2488" s="5" t="s">
        <v>8156</v>
      </c>
      <c r="F2488" s="3" t="s">
        <v>8157</v>
      </c>
      <c r="G2488" s="3" t="s">
        <v>972</v>
      </c>
      <c r="H2488" s="2" t="str">
        <f>"2012"</f>
        <v>2012</v>
      </c>
      <c r="I2488" t="s">
        <v>14</v>
      </c>
      <c r="J2488" t="s">
        <v>15</v>
      </c>
    </row>
    <row r="2489" spans="1:10">
      <c r="A2489" s="2" t="str">
        <f>"2486"</f>
        <v>2486</v>
      </c>
      <c r="B2489" s="2" t="s">
        <v>9</v>
      </c>
      <c r="C2489" s="2" t="str">
        <f>"1 (1)"</f>
        <v>1 (1)</v>
      </c>
      <c r="D2489" s="2" t="s">
        <v>8158</v>
      </c>
      <c r="E2489" s="5" t="s">
        <v>8159</v>
      </c>
      <c r="F2489" s="3" t="s">
        <v>8160</v>
      </c>
      <c r="G2489" s="3" t="s">
        <v>972</v>
      </c>
      <c r="H2489" s="2" t="str">
        <f>"2012"</f>
        <v>2012</v>
      </c>
      <c r="I2489" t="s">
        <v>14</v>
      </c>
      <c r="J2489" t="s">
        <v>15</v>
      </c>
    </row>
    <row r="2490" spans="1:10">
      <c r="A2490" s="2" t="str">
        <f>"2487"</f>
        <v>2487</v>
      </c>
      <c r="B2490" s="2" t="s">
        <v>9</v>
      </c>
      <c r="C2490" s="2" t="str">
        <f>"1 (1)"</f>
        <v>1 (1)</v>
      </c>
      <c r="D2490" s="2" t="s">
        <v>8161</v>
      </c>
      <c r="E2490" s="5" t="s">
        <v>8162</v>
      </c>
      <c r="F2490" s="3" t="s">
        <v>8160</v>
      </c>
      <c r="G2490" s="3" t="s">
        <v>972</v>
      </c>
      <c r="H2490" s="2" t="str">
        <f>"2012"</f>
        <v>2012</v>
      </c>
      <c r="I2490" t="s">
        <v>14</v>
      </c>
      <c r="J2490" t="s">
        <v>15</v>
      </c>
    </row>
    <row r="2491" spans="1:10">
      <c r="A2491" s="2" t="str">
        <f>"2488"</f>
        <v>2488</v>
      </c>
      <c r="B2491" s="2" t="s">
        <v>9</v>
      </c>
      <c r="C2491" s="2" t="str">
        <f>"1 (1)"</f>
        <v>1 (1)</v>
      </c>
      <c r="D2491" s="2" t="s">
        <v>8163</v>
      </c>
      <c r="E2491" s="5" t="s">
        <v>8164</v>
      </c>
      <c r="F2491" s="3" t="s">
        <v>8160</v>
      </c>
      <c r="G2491" s="3" t="s">
        <v>972</v>
      </c>
      <c r="H2491" s="2" t="str">
        <f>"2012"</f>
        <v>2012</v>
      </c>
      <c r="I2491" t="s">
        <v>14</v>
      </c>
      <c r="J2491" t="s">
        <v>15</v>
      </c>
    </row>
    <row r="2492" spans="1:10">
      <c r="A2492" s="2" t="str">
        <f>"2489"</f>
        <v>2489</v>
      </c>
      <c r="B2492" s="2" t="s">
        <v>9</v>
      </c>
      <c r="C2492" s="2" t="str">
        <f>"1 (1)"</f>
        <v>1 (1)</v>
      </c>
      <c r="D2492" s="2" t="s">
        <v>8165</v>
      </c>
      <c r="E2492" s="5" t="s">
        <v>8166</v>
      </c>
      <c r="F2492" s="3" t="s">
        <v>8160</v>
      </c>
      <c r="G2492" s="3" t="s">
        <v>972</v>
      </c>
      <c r="H2492" s="2" t="str">
        <f>"2012"</f>
        <v>2012</v>
      </c>
      <c r="I2492" t="s">
        <v>14</v>
      </c>
      <c r="J2492" t="s">
        <v>15</v>
      </c>
    </row>
    <row r="2493" spans="1:10">
      <c r="A2493" s="2" t="str">
        <f>"2490"</f>
        <v>2490</v>
      </c>
      <c r="B2493" s="2" t="s">
        <v>9</v>
      </c>
      <c r="C2493" s="2" t="str">
        <f>"1 (1)"</f>
        <v>1 (1)</v>
      </c>
      <c r="D2493" s="2" t="s">
        <v>8167</v>
      </c>
      <c r="E2493" s="5" t="s">
        <v>8168</v>
      </c>
      <c r="F2493" s="3" t="s">
        <v>8169</v>
      </c>
      <c r="G2493" s="3" t="s">
        <v>972</v>
      </c>
      <c r="H2493" s="2" t="str">
        <f>"2012"</f>
        <v>2012</v>
      </c>
      <c r="I2493" t="s">
        <v>14</v>
      </c>
      <c r="J2493" t="s">
        <v>15</v>
      </c>
    </row>
    <row r="2494" spans="1:10">
      <c r="A2494" s="2" t="str">
        <f>"2491"</f>
        <v>2491</v>
      </c>
      <c r="B2494" s="2" t="s">
        <v>9</v>
      </c>
      <c r="C2494" s="2" t="str">
        <f>"1 (1)"</f>
        <v>1 (1)</v>
      </c>
      <c r="D2494" s="2" t="s">
        <v>8170</v>
      </c>
      <c r="E2494" s="5" t="s">
        <v>8171</v>
      </c>
      <c r="F2494" s="3" t="s">
        <v>8172</v>
      </c>
      <c r="G2494" s="3" t="s">
        <v>972</v>
      </c>
      <c r="H2494" s="2" t="str">
        <f>"2013"</f>
        <v>2013</v>
      </c>
      <c r="I2494" t="s">
        <v>14</v>
      </c>
      <c r="J2494" t="s">
        <v>15</v>
      </c>
    </row>
    <row r="2495" spans="1:10">
      <c r="A2495" s="2" t="str">
        <f>"2492"</f>
        <v>2492</v>
      </c>
      <c r="B2495" s="2" t="s">
        <v>9</v>
      </c>
      <c r="C2495" s="2" t="str">
        <f>"1 (1)"</f>
        <v>1 (1)</v>
      </c>
      <c r="D2495" s="2" t="s">
        <v>8173</v>
      </c>
      <c r="E2495" s="5" t="s">
        <v>8174</v>
      </c>
      <c r="F2495" s="3" t="s">
        <v>8175</v>
      </c>
      <c r="G2495" s="3" t="s">
        <v>972</v>
      </c>
      <c r="H2495" s="2" t="str">
        <f>"2013"</f>
        <v>2013</v>
      </c>
      <c r="I2495" t="s">
        <v>14</v>
      </c>
      <c r="J2495" t="s">
        <v>15</v>
      </c>
    </row>
    <row r="2496" spans="1:10">
      <c r="A2496" s="2" t="str">
        <f>"2493"</f>
        <v>2493</v>
      </c>
      <c r="B2496" s="2" t="s">
        <v>9</v>
      </c>
      <c r="C2496" s="2" t="str">
        <f>"1 (1)"</f>
        <v>1 (1)</v>
      </c>
      <c r="D2496" s="2" t="s">
        <v>8176</v>
      </c>
      <c r="E2496" s="5" t="s">
        <v>8177</v>
      </c>
      <c r="F2496" s="3" t="s">
        <v>588</v>
      </c>
      <c r="G2496" s="3" t="s">
        <v>564</v>
      </c>
      <c r="H2496" s="2" t="str">
        <f>"2012"</f>
        <v>2012</v>
      </c>
      <c r="I2496" t="s">
        <v>14</v>
      </c>
      <c r="J2496" t="s">
        <v>15</v>
      </c>
    </row>
    <row r="2497" spans="1:10">
      <c r="A2497" s="2" t="str">
        <f>"2494"</f>
        <v>2494</v>
      </c>
      <c r="B2497" s="2" t="s">
        <v>9</v>
      </c>
      <c r="C2497" s="2" t="str">
        <f>"1 (1)"</f>
        <v>1 (1)</v>
      </c>
      <c r="D2497" s="2" t="s">
        <v>8178</v>
      </c>
      <c r="E2497" s="5" t="s">
        <v>8179</v>
      </c>
      <c r="F2497" s="3" t="s">
        <v>588</v>
      </c>
      <c r="G2497" s="3" t="s">
        <v>564</v>
      </c>
      <c r="H2497" s="2" t="str">
        <f>"2012"</f>
        <v>2012</v>
      </c>
      <c r="I2497" t="s">
        <v>14</v>
      </c>
      <c r="J2497" t="s">
        <v>15</v>
      </c>
    </row>
    <row r="2498" spans="1:10">
      <c r="A2498" s="2" t="str">
        <f>"2495"</f>
        <v>2495</v>
      </c>
      <c r="B2498" s="2" t="s">
        <v>9</v>
      </c>
      <c r="C2498" s="2" t="str">
        <f>"1 (1)"</f>
        <v>1 (1)</v>
      </c>
      <c r="D2498" s="2" t="s">
        <v>8180</v>
      </c>
      <c r="E2498" s="5" t="s">
        <v>8181</v>
      </c>
      <c r="F2498" s="3" t="s">
        <v>8182</v>
      </c>
      <c r="G2498" s="3" t="s">
        <v>3595</v>
      </c>
      <c r="H2498" s="2" t="str">
        <f>"2011"</f>
        <v>2011</v>
      </c>
      <c r="I2498" t="s">
        <v>14</v>
      </c>
      <c r="J2498" t="s">
        <v>15</v>
      </c>
    </row>
    <row r="2499" spans="1:10">
      <c r="A2499" s="2" t="str">
        <f>"2496"</f>
        <v>2496</v>
      </c>
      <c r="B2499" s="2" t="s">
        <v>9</v>
      </c>
      <c r="C2499" s="2" t="str">
        <f>"1 (1)"</f>
        <v>1 (1)</v>
      </c>
      <c r="D2499" s="2" t="s">
        <v>8183</v>
      </c>
      <c r="E2499" s="5" t="s">
        <v>8184</v>
      </c>
      <c r="F2499" s="3" t="s">
        <v>8185</v>
      </c>
      <c r="G2499" s="3" t="s">
        <v>8186</v>
      </c>
      <c r="H2499" s="2" t="str">
        <f>"2013"</f>
        <v>2013</v>
      </c>
      <c r="I2499" t="s">
        <v>14</v>
      </c>
      <c r="J2499" t="s">
        <v>15</v>
      </c>
    </row>
    <row r="2500" spans="1:10">
      <c r="A2500" s="2" t="str">
        <f>"2497"</f>
        <v>2497</v>
      </c>
      <c r="B2500" s="2" t="s">
        <v>9</v>
      </c>
      <c r="C2500" s="2" t="str">
        <f>"1 (1)"</f>
        <v>1 (1)</v>
      </c>
      <c r="D2500" s="2" t="s">
        <v>8187</v>
      </c>
      <c r="E2500" s="5" t="s">
        <v>8188</v>
      </c>
      <c r="F2500" s="3" t="s">
        <v>8185</v>
      </c>
      <c r="G2500" s="3" t="s">
        <v>8186</v>
      </c>
      <c r="H2500" s="2" t="str">
        <f>"2013"</f>
        <v>2013</v>
      </c>
      <c r="I2500" t="s">
        <v>14</v>
      </c>
      <c r="J2500" t="s">
        <v>15</v>
      </c>
    </row>
    <row r="2501" spans="1:10">
      <c r="A2501" s="2" t="str">
        <f>"2498"</f>
        <v>2498</v>
      </c>
      <c r="B2501" s="2" t="s">
        <v>9</v>
      </c>
      <c r="C2501" s="2" t="str">
        <f>"1 (1)"</f>
        <v>1 (1)</v>
      </c>
      <c r="D2501" s="2" t="s">
        <v>8189</v>
      </c>
      <c r="E2501" s="5" t="s">
        <v>8190</v>
      </c>
      <c r="F2501" s="3" t="s">
        <v>8185</v>
      </c>
      <c r="G2501" s="3" t="s">
        <v>8186</v>
      </c>
      <c r="H2501" s="2" t="str">
        <f>"2013"</f>
        <v>2013</v>
      </c>
      <c r="I2501" t="s">
        <v>14</v>
      </c>
      <c r="J2501" t="s">
        <v>15</v>
      </c>
    </row>
    <row r="2502" spans="1:10">
      <c r="A2502" s="2" t="str">
        <f>"2499"</f>
        <v>2499</v>
      </c>
      <c r="B2502" s="2" t="s">
        <v>9</v>
      </c>
      <c r="C2502" s="2" t="str">
        <f>"1 (1)"</f>
        <v>1 (1)</v>
      </c>
      <c r="D2502" s="2" t="s">
        <v>8191</v>
      </c>
      <c r="E2502" s="5" t="s">
        <v>8192</v>
      </c>
      <c r="F2502" s="3" t="s">
        <v>8185</v>
      </c>
      <c r="G2502" s="3" t="s">
        <v>8186</v>
      </c>
      <c r="H2502" s="2" t="str">
        <f>"2013"</f>
        <v>2013</v>
      </c>
      <c r="I2502" t="s">
        <v>14</v>
      </c>
      <c r="J2502" t="s">
        <v>15</v>
      </c>
    </row>
    <row r="2503" spans="1:10">
      <c r="A2503" s="2" t="str">
        <f>"2500"</f>
        <v>2500</v>
      </c>
      <c r="B2503" s="2" t="s">
        <v>9</v>
      </c>
      <c r="C2503" s="2" t="str">
        <f>"1 (1)"</f>
        <v>1 (1)</v>
      </c>
      <c r="D2503" s="2" t="s">
        <v>8193</v>
      </c>
      <c r="E2503" s="5" t="s">
        <v>8194</v>
      </c>
      <c r="F2503" s="3" t="s">
        <v>8185</v>
      </c>
      <c r="G2503" s="3" t="s">
        <v>8186</v>
      </c>
      <c r="H2503" s="2" t="str">
        <f>"2013"</f>
        <v>2013</v>
      </c>
      <c r="I2503" t="s">
        <v>14</v>
      </c>
      <c r="J2503" t="s">
        <v>15</v>
      </c>
    </row>
    <row r="2504" spans="1:10">
      <c r="A2504" s="2" t="str">
        <f>"2501"</f>
        <v>2501</v>
      </c>
      <c r="B2504" s="2" t="s">
        <v>9</v>
      </c>
      <c r="C2504" s="2" t="str">
        <f>"1 (1)"</f>
        <v>1 (1)</v>
      </c>
      <c r="D2504" s="2" t="s">
        <v>8195</v>
      </c>
      <c r="E2504" s="5" t="s">
        <v>8196</v>
      </c>
      <c r="F2504" s="3" t="s">
        <v>8185</v>
      </c>
      <c r="G2504" s="3" t="s">
        <v>8186</v>
      </c>
      <c r="H2504" s="2" t="str">
        <f>"2013"</f>
        <v>2013</v>
      </c>
      <c r="I2504" t="s">
        <v>14</v>
      </c>
      <c r="J2504" t="s">
        <v>15</v>
      </c>
    </row>
    <row r="2505" spans="1:10">
      <c r="A2505" s="2" t="str">
        <f>"2502"</f>
        <v>2502</v>
      </c>
      <c r="B2505" s="2" t="s">
        <v>9</v>
      </c>
      <c r="C2505" s="2" t="str">
        <f>"1 (1)"</f>
        <v>1 (1)</v>
      </c>
      <c r="D2505" s="2" t="s">
        <v>8197</v>
      </c>
      <c r="E2505" s="5" t="s">
        <v>8198</v>
      </c>
      <c r="F2505" s="3" t="s">
        <v>8185</v>
      </c>
      <c r="G2505" s="3" t="s">
        <v>8186</v>
      </c>
      <c r="H2505" s="2" t="str">
        <f>"2013"</f>
        <v>2013</v>
      </c>
      <c r="I2505" t="s">
        <v>14</v>
      </c>
      <c r="J2505" t="s">
        <v>15</v>
      </c>
    </row>
    <row r="2506" spans="1:10">
      <c r="A2506" s="2" t="str">
        <f>"2503"</f>
        <v>2503</v>
      </c>
      <c r="B2506" s="2" t="s">
        <v>9</v>
      </c>
      <c r="C2506" s="2" t="str">
        <f>"1 (1)"</f>
        <v>1 (1)</v>
      </c>
      <c r="D2506" s="2" t="s">
        <v>8199</v>
      </c>
      <c r="E2506" s="5" t="s">
        <v>8200</v>
      </c>
      <c r="F2506" s="3" t="s">
        <v>8185</v>
      </c>
      <c r="G2506" s="3" t="s">
        <v>8186</v>
      </c>
      <c r="H2506" s="2" t="str">
        <f>"2013"</f>
        <v>2013</v>
      </c>
      <c r="I2506" t="s">
        <v>14</v>
      </c>
      <c r="J2506" t="s">
        <v>15</v>
      </c>
    </row>
    <row r="2507" spans="1:10">
      <c r="A2507" s="2" t="str">
        <f>"2504"</f>
        <v>2504</v>
      </c>
      <c r="B2507" s="2" t="s">
        <v>9</v>
      </c>
      <c r="C2507" s="2" t="str">
        <f>"1 (1)"</f>
        <v>1 (1)</v>
      </c>
      <c r="D2507" s="2" t="s">
        <v>8201</v>
      </c>
      <c r="E2507" s="5" t="s">
        <v>8202</v>
      </c>
      <c r="F2507" s="3" t="s">
        <v>8185</v>
      </c>
      <c r="G2507" s="3" t="s">
        <v>8186</v>
      </c>
      <c r="H2507" s="2" t="str">
        <f>"2013"</f>
        <v>2013</v>
      </c>
      <c r="I2507" t="s">
        <v>14</v>
      </c>
      <c r="J2507" t="s">
        <v>15</v>
      </c>
    </row>
    <row r="2508" spans="1:10">
      <c r="A2508" s="2" t="str">
        <f>"2505"</f>
        <v>2505</v>
      </c>
      <c r="B2508" s="2" t="s">
        <v>9</v>
      </c>
      <c r="C2508" s="2" t="str">
        <f>"1 (1)"</f>
        <v>1 (1)</v>
      </c>
      <c r="D2508" s="2" t="s">
        <v>8203</v>
      </c>
      <c r="E2508" s="5" t="s">
        <v>8204</v>
      </c>
      <c r="F2508" s="3" t="s">
        <v>8185</v>
      </c>
      <c r="G2508" s="3" t="s">
        <v>8186</v>
      </c>
      <c r="H2508" s="2" t="str">
        <f>"2013"</f>
        <v>2013</v>
      </c>
      <c r="I2508" t="s">
        <v>14</v>
      </c>
      <c r="J2508" t="s">
        <v>15</v>
      </c>
    </row>
    <row r="2509" spans="1:10">
      <c r="A2509" s="2" t="str">
        <f>"2506"</f>
        <v>2506</v>
      </c>
      <c r="B2509" s="2" t="s">
        <v>9</v>
      </c>
      <c r="C2509" s="2" t="str">
        <f>"1 (1)"</f>
        <v>1 (1)</v>
      </c>
      <c r="D2509" s="2" t="s">
        <v>8205</v>
      </c>
      <c r="E2509" s="5" t="s">
        <v>8206</v>
      </c>
      <c r="F2509" s="3" t="s">
        <v>8207</v>
      </c>
      <c r="G2509" s="3" t="s">
        <v>3750</v>
      </c>
      <c r="H2509" s="2" t="str">
        <f>"2013"</f>
        <v>2013</v>
      </c>
      <c r="I2509" t="s">
        <v>14</v>
      </c>
      <c r="J2509" t="s">
        <v>15</v>
      </c>
    </row>
    <row r="2510" spans="1:10">
      <c r="A2510" s="2" t="str">
        <f>"2507"</f>
        <v>2507</v>
      </c>
      <c r="B2510" s="2" t="s">
        <v>9</v>
      </c>
      <c r="C2510" s="2" t="str">
        <f>"1 (1)"</f>
        <v>1 (1)</v>
      </c>
      <c r="D2510" s="2" t="s">
        <v>8208</v>
      </c>
      <c r="E2510" s="5" t="s">
        <v>8209</v>
      </c>
      <c r="F2510" s="3" t="s">
        <v>8207</v>
      </c>
      <c r="G2510" s="3" t="s">
        <v>3750</v>
      </c>
      <c r="H2510" s="2" t="str">
        <f>"2013"</f>
        <v>2013</v>
      </c>
      <c r="I2510" t="s">
        <v>14</v>
      </c>
      <c r="J2510" t="s">
        <v>15</v>
      </c>
    </row>
    <row r="2511" spans="1:10">
      <c r="A2511" s="2" t="str">
        <f>"2508"</f>
        <v>2508</v>
      </c>
      <c r="B2511" s="2" t="s">
        <v>9</v>
      </c>
      <c r="C2511" s="2" t="str">
        <f>"1 (1)"</f>
        <v>1 (1)</v>
      </c>
      <c r="D2511" s="2" t="s">
        <v>8210</v>
      </c>
      <c r="E2511" s="5" t="s">
        <v>8211</v>
      </c>
      <c r="F2511" s="3" t="s">
        <v>8207</v>
      </c>
      <c r="G2511" s="3" t="s">
        <v>3750</v>
      </c>
      <c r="H2511" s="2" t="str">
        <f>"2013"</f>
        <v>2013</v>
      </c>
      <c r="I2511" t="s">
        <v>14</v>
      </c>
      <c r="J2511" t="s">
        <v>15</v>
      </c>
    </row>
    <row r="2512" spans="1:10">
      <c r="A2512" s="2" t="str">
        <f>"2509"</f>
        <v>2509</v>
      </c>
      <c r="B2512" s="2" t="s">
        <v>9</v>
      </c>
      <c r="C2512" s="2" t="str">
        <f>"1 (1)"</f>
        <v>1 (1)</v>
      </c>
      <c r="D2512" s="2" t="s">
        <v>8212</v>
      </c>
      <c r="E2512" s="5" t="s">
        <v>8213</v>
      </c>
      <c r="F2512" s="3" t="s">
        <v>8214</v>
      </c>
      <c r="G2512" s="3" t="s">
        <v>8215</v>
      </c>
      <c r="H2512" s="2" t="s">
        <v>8216</v>
      </c>
      <c r="I2512" t="s">
        <v>14</v>
      </c>
      <c r="J2512" t="s">
        <v>15</v>
      </c>
    </row>
    <row r="2513" spans="1:10">
      <c r="A2513" s="2" t="str">
        <f>"2510"</f>
        <v>2510</v>
      </c>
      <c r="B2513" s="2" t="s">
        <v>9</v>
      </c>
      <c r="C2513" s="2" t="str">
        <f>"1 (1)"</f>
        <v>1 (1)</v>
      </c>
      <c r="D2513" s="2" t="s">
        <v>8217</v>
      </c>
      <c r="E2513" s="5" t="s">
        <v>8218</v>
      </c>
      <c r="F2513" s="3" t="s">
        <v>8219</v>
      </c>
      <c r="G2513" s="3" t="s">
        <v>8215</v>
      </c>
      <c r="H2513" s="2" t="s">
        <v>8216</v>
      </c>
      <c r="I2513" t="s">
        <v>14</v>
      </c>
      <c r="J2513" t="s">
        <v>15</v>
      </c>
    </row>
    <row r="2514" spans="1:10">
      <c r="A2514" s="2" t="str">
        <f>"2511"</f>
        <v>2511</v>
      </c>
      <c r="B2514" s="2" t="s">
        <v>9</v>
      </c>
      <c r="C2514" s="2" t="str">
        <f>"1 (1)"</f>
        <v>1 (1)</v>
      </c>
      <c r="D2514" s="2" t="s">
        <v>8220</v>
      </c>
      <c r="E2514" s="5" t="s">
        <v>8221</v>
      </c>
      <c r="F2514" s="3" t="s">
        <v>8222</v>
      </c>
      <c r="G2514" s="3" t="s">
        <v>8215</v>
      </c>
      <c r="H2514" s="2" t="str">
        <f>"2009"</f>
        <v>2009</v>
      </c>
      <c r="I2514" t="s">
        <v>14</v>
      </c>
      <c r="J2514" t="s">
        <v>15</v>
      </c>
    </row>
    <row r="2515" spans="1:10">
      <c r="A2515" s="2" t="str">
        <f>"2512"</f>
        <v>2512</v>
      </c>
      <c r="B2515" s="2" t="s">
        <v>9</v>
      </c>
      <c r="C2515" s="2" t="str">
        <f>"1 (1)"</f>
        <v>1 (1)</v>
      </c>
      <c r="D2515" s="2" t="s">
        <v>8223</v>
      </c>
      <c r="E2515" s="5" t="s">
        <v>8224</v>
      </c>
      <c r="F2515" s="3" t="s">
        <v>8225</v>
      </c>
      <c r="G2515" s="3" t="s">
        <v>8215</v>
      </c>
      <c r="H2515" s="2" t="str">
        <f>"2009"</f>
        <v>2009</v>
      </c>
      <c r="I2515" t="s">
        <v>14</v>
      </c>
      <c r="J2515" t="s">
        <v>15</v>
      </c>
    </row>
    <row r="2516" spans="1:10">
      <c r="A2516" s="2" t="str">
        <f>"2513"</f>
        <v>2513</v>
      </c>
      <c r="B2516" s="2" t="s">
        <v>9</v>
      </c>
      <c r="C2516" s="2" t="str">
        <f>"1 (1)"</f>
        <v>1 (1)</v>
      </c>
      <c r="D2516" s="2" t="s">
        <v>8226</v>
      </c>
      <c r="E2516" s="5" t="s">
        <v>8227</v>
      </c>
      <c r="F2516" s="3" t="s">
        <v>8228</v>
      </c>
      <c r="G2516" s="3" t="s">
        <v>8215</v>
      </c>
      <c r="H2516" s="2" t="s">
        <v>8216</v>
      </c>
      <c r="I2516" t="s">
        <v>14</v>
      </c>
      <c r="J2516" t="s">
        <v>15</v>
      </c>
    </row>
    <row r="2517" spans="1:10">
      <c r="A2517" s="2" t="str">
        <f>"2514"</f>
        <v>2514</v>
      </c>
      <c r="B2517" s="2" t="s">
        <v>9</v>
      </c>
      <c r="C2517" s="2" t="str">
        <f>"1 (1)"</f>
        <v>1 (1)</v>
      </c>
      <c r="D2517" s="2" t="s">
        <v>8229</v>
      </c>
      <c r="E2517" s="5" t="s">
        <v>8230</v>
      </c>
      <c r="F2517" s="3" t="s">
        <v>8231</v>
      </c>
      <c r="G2517" s="3" t="s">
        <v>8215</v>
      </c>
      <c r="H2517" s="2" t="str">
        <f>"2009"</f>
        <v>2009</v>
      </c>
      <c r="I2517" t="s">
        <v>14</v>
      </c>
      <c r="J2517" t="s">
        <v>15</v>
      </c>
    </row>
    <row r="2518" spans="1:10">
      <c r="A2518" s="2" t="str">
        <f>"2515"</f>
        <v>2515</v>
      </c>
      <c r="B2518" s="2" t="s">
        <v>9</v>
      </c>
      <c r="C2518" s="2" t="str">
        <f>"1 (1)"</f>
        <v>1 (1)</v>
      </c>
      <c r="D2518" s="2" t="s">
        <v>8232</v>
      </c>
      <c r="E2518" s="5" t="s">
        <v>8233</v>
      </c>
      <c r="F2518" s="3" t="s">
        <v>8234</v>
      </c>
      <c r="G2518" s="3" t="s">
        <v>8215</v>
      </c>
      <c r="H2518" s="2" t="s">
        <v>8216</v>
      </c>
      <c r="I2518" t="s">
        <v>14</v>
      </c>
      <c r="J2518" t="s">
        <v>15</v>
      </c>
    </row>
    <row r="2519" spans="1:10">
      <c r="A2519" s="2" t="str">
        <f>"2516"</f>
        <v>2516</v>
      </c>
      <c r="B2519" s="2" t="s">
        <v>9</v>
      </c>
      <c r="C2519" s="2" t="str">
        <f>"1 (1)"</f>
        <v>1 (1)</v>
      </c>
      <c r="D2519" s="2" t="s">
        <v>8235</v>
      </c>
      <c r="E2519" s="5" t="s">
        <v>8236</v>
      </c>
      <c r="F2519" s="3" t="s">
        <v>8237</v>
      </c>
      <c r="G2519" s="3" t="s">
        <v>8215</v>
      </c>
      <c r="H2519" s="2" t="str">
        <f>"2009"</f>
        <v>2009</v>
      </c>
      <c r="I2519" t="s">
        <v>14</v>
      </c>
      <c r="J2519" t="s">
        <v>15</v>
      </c>
    </row>
    <row r="2520" spans="1:10">
      <c r="A2520" s="2" t="str">
        <f>"2517"</f>
        <v>2517</v>
      </c>
      <c r="B2520" s="2" t="s">
        <v>9</v>
      </c>
      <c r="C2520" s="2" t="str">
        <f>"1 (1)"</f>
        <v>1 (1)</v>
      </c>
      <c r="D2520" s="2" t="s">
        <v>8238</v>
      </c>
      <c r="E2520" s="5" t="s">
        <v>8239</v>
      </c>
      <c r="F2520" s="3" t="s">
        <v>8240</v>
      </c>
      <c r="G2520" s="3" t="s">
        <v>8215</v>
      </c>
      <c r="H2520" s="2" t="s">
        <v>8216</v>
      </c>
      <c r="I2520" t="s">
        <v>14</v>
      </c>
      <c r="J2520" t="s">
        <v>15</v>
      </c>
    </row>
    <row r="2521" spans="1:10">
      <c r="A2521" s="2" t="str">
        <f>"2518"</f>
        <v>2518</v>
      </c>
      <c r="B2521" s="2" t="s">
        <v>9</v>
      </c>
      <c r="C2521" s="2" t="str">
        <f>"1 (1)"</f>
        <v>1 (1)</v>
      </c>
      <c r="D2521" s="2" t="s">
        <v>8241</v>
      </c>
      <c r="E2521" s="5" t="s">
        <v>8242</v>
      </c>
      <c r="F2521" s="3" t="s">
        <v>8243</v>
      </c>
      <c r="G2521" s="3" t="s">
        <v>8215</v>
      </c>
      <c r="H2521" s="2" t="s">
        <v>8216</v>
      </c>
      <c r="I2521" t="s">
        <v>14</v>
      </c>
      <c r="J2521" t="s">
        <v>15</v>
      </c>
    </row>
    <row r="2522" spans="1:10">
      <c r="A2522" s="2" t="str">
        <f>"2519"</f>
        <v>2519</v>
      </c>
      <c r="B2522" s="2" t="s">
        <v>9</v>
      </c>
      <c r="C2522" s="2" t="str">
        <f>"1 (1)"</f>
        <v>1 (1)</v>
      </c>
      <c r="D2522" s="2" t="s">
        <v>8244</v>
      </c>
      <c r="E2522" s="5" t="s">
        <v>8245</v>
      </c>
      <c r="F2522" s="3" t="s">
        <v>8246</v>
      </c>
      <c r="G2522" s="3" t="s">
        <v>8215</v>
      </c>
      <c r="H2522" s="2" t="str">
        <f>"2009"</f>
        <v>2009</v>
      </c>
      <c r="I2522" t="s">
        <v>14</v>
      </c>
      <c r="J2522" t="s">
        <v>15</v>
      </c>
    </row>
    <row r="2523" spans="1:10">
      <c r="A2523" s="2" t="str">
        <f>"2520"</f>
        <v>2520</v>
      </c>
      <c r="B2523" s="2" t="s">
        <v>9</v>
      </c>
      <c r="C2523" s="2" t="str">
        <f>"1 (1)"</f>
        <v>1 (1)</v>
      </c>
      <c r="D2523" s="2" t="s">
        <v>8247</v>
      </c>
      <c r="E2523" s="5" t="s">
        <v>8248</v>
      </c>
      <c r="F2523" s="3" t="s">
        <v>8249</v>
      </c>
      <c r="G2523" s="3" t="s">
        <v>8215</v>
      </c>
      <c r="H2523" s="2" t="str">
        <f>"2009"</f>
        <v>2009</v>
      </c>
      <c r="I2523" t="s">
        <v>14</v>
      </c>
      <c r="J2523" t="s">
        <v>15</v>
      </c>
    </row>
    <row r="2524" spans="1:10">
      <c r="A2524" s="2" t="str">
        <f>"2521"</f>
        <v>2521</v>
      </c>
      <c r="B2524" s="2" t="s">
        <v>9</v>
      </c>
      <c r="C2524" s="2" t="str">
        <f>"1 (1)"</f>
        <v>1 (1)</v>
      </c>
      <c r="D2524" s="2" t="s">
        <v>8250</v>
      </c>
      <c r="E2524" s="5" t="s">
        <v>8251</v>
      </c>
      <c r="F2524" s="3" t="s">
        <v>8252</v>
      </c>
      <c r="G2524" s="3" t="s">
        <v>8215</v>
      </c>
      <c r="H2524" s="2" t="str">
        <f>"2009"</f>
        <v>2009</v>
      </c>
      <c r="I2524" t="s">
        <v>14</v>
      </c>
      <c r="J2524" t="s">
        <v>15</v>
      </c>
    </row>
    <row r="2525" spans="1:10">
      <c r="A2525" s="2" t="str">
        <f>"2522"</f>
        <v>2522</v>
      </c>
      <c r="B2525" s="2" t="s">
        <v>9</v>
      </c>
      <c r="C2525" s="2" t="str">
        <f>"1 (1)"</f>
        <v>1 (1)</v>
      </c>
      <c r="D2525" s="2" t="s">
        <v>8253</v>
      </c>
      <c r="E2525" s="5" t="s">
        <v>8254</v>
      </c>
      <c r="F2525" s="3" t="s">
        <v>8255</v>
      </c>
      <c r="G2525" s="3" t="s">
        <v>8215</v>
      </c>
      <c r="H2525" s="2" t="str">
        <f>"2009"</f>
        <v>2009</v>
      </c>
      <c r="I2525" t="s">
        <v>14</v>
      </c>
      <c r="J2525" t="s">
        <v>15</v>
      </c>
    </row>
    <row r="2526" spans="1:10">
      <c r="A2526" s="2" t="str">
        <f>"2523"</f>
        <v>2523</v>
      </c>
      <c r="B2526" s="2" t="s">
        <v>9</v>
      </c>
      <c r="C2526" s="2" t="str">
        <f>"1 (1)"</f>
        <v>1 (1)</v>
      </c>
      <c r="D2526" s="2" t="s">
        <v>8256</v>
      </c>
      <c r="E2526" s="5" t="s">
        <v>8257</v>
      </c>
      <c r="F2526" s="3" t="s">
        <v>8258</v>
      </c>
      <c r="G2526" s="3" t="s">
        <v>8215</v>
      </c>
      <c r="H2526" s="2" t="s">
        <v>8216</v>
      </c>
      <c r="I2526" t="s">
        <v>14</v>
      </c>
      <c r="J2526" t="s">
        <v>15</v>
      </c>
    </row>
    <row r="2527" spans="1:10">
      <c r="A2527" s="2" t="str">
        <f>"2524"</f>
        <v>2524</v>
      </c>
      <c r="B2527" s="2" t="s">
        <v>9</v>
      </c>
      <c r="C2527" s="2" t="str">
        <f>"1 (1)"</f>
        <v>1 (1)</v>
      </c>
      <c r="D2527" s="2" t="s">
        <v>8259</v>
      </c>
      <c r="E2527" s="5" t="s">
        <v>8260</v>
      </c>
      <c r="F2527" s="3" t="s">
        <v>8261</v>
      </c>
      <c r="G2527" s="3" t="s">
        <v>8215</v>
      </c>
      <c r="H2527" s="2" t="s">
        <v>8216</v>
      </c>
      <c r="I2527" t="s">
        <v>14</v>
      </c>
      <c r="J2527" t="s">
        <v>15</v>
      </c>
    </row>
    <row r="2528" spans="1:10">
      <c r="A2528" s="2" t="str">
        <f>"2525"</f>
        <v>2525</v>
      </c>
      <c r="B2528" s="2" t="s">
        <v>9</v>
      </c>
      <c r="C2528" s="2" t="str">
        <f>"1 (1)"</f>
        <v>1 (1)</v>
      </c>
      <c r="D2528" s="2" t="s">
        <v>8262</v>
      </c>
      <c r="E2528" s="5" t="s">
        <v>8263</v>
      </c>
      <c r="F2528" s="3" t="s">
        <v>8264</v>
      </c>
      <c r="G2528" s="3" t="s">
        <v>8215</v>
      </c>
      <c r="H2528" s="2" t="s">
        <v>8216</v>
      </c>
      <c r="I2528" t="s">
        <v>14</v>
      </c>
      <c r="J2528" t="s">
        <v>15</v>
      </c>
    </row>
    <row r="2529" spans="1:10">
      <c r="A2529" s="2" t="str">
        <f>"2526"</f>
        <v>2526</v>
      </c>
      <c r="B2529" s="2" t="s">
        <v>9</v>
      </c>
      <c r="C2529" s="2" t="str">
        <f>"1 (1)"</f>
        <v>1 (1)</v>
      </c>
      <c r="D2529" s="2" t="s">
        <v>8265</v>
      </c>
      <c r="E2529" s="5" t="s">
        <v>8266</v>
      </c>
      <c r="F2529" s="3" t="s">
        <v>8267</v>
      </c>
      <c r="G2529" s="3" t="s">
        <v>8215</v>
      </c>
      <c r="H2529" s="2" t="s">
        <v>8216</v>
      </c>
      <c r="I2529" t="s">
        <v>14</v>
      </c>
      <c r="J2529" t="s">
        <v>15</v>
      </c>
    </row>
    <row r="2530" spans="1:10">
      <c r="A2530" s="2" t="str">
        <f>"2527"</f>
        <v>2527</v>
      </c>
      <c r="B2530" s="2" t="s">
        <v>9</v>
      </c>
      <c r="C2530" s="2" t="str">
        <f>"1 (1)"</f>
        <v>1 (1)</v>
      </c>
      <c r="D2530" s="2" t="s">
        <v>8268</v>
      </c>
      <c r="E2530" s="5" t="s">
        <v>8269</v>
      </c>
      <c r="F2530" s="3" t="s">
        <v>8270</v>
      </c>
      <c r="G2530" s="3" t="s">
        <v>8215</v>
      </c>
      <c r="H2530" s="2" t="str">
        <f>"2009"</f>
        <v>2009</v>
      </c>
      <c r="I2530" t="s">
        <v>14</v>
      </c>
      <c r="J2530" t="s">
        <v>15</v>
      </c>
    </row>
    <row r="2531" spans="1:10">
      <c r="A2531" s="2" t="str">
        <f>"2528"</f>
        <v>2528</v>
      </c>
      <c r="B2531" s="2" t="s">
        <v>9</v>
      </c>
      <c r="C2531" s="2" t="str">
        <f>"1 (1)"</f>
        <v>1 (1)</v>
      </c>
      <c r="D2531" s="2" t="s">
        <v>8271</v>
      </c>
      <c r="E2531" s="5" t="s">
        <v>8272</v>
      </c>
      <c r="F2531" s="3" t="s">
        <v>8273</v>
      </c>
      <c r="G2531" s="3" t="s">
        <v>8215</v>
      </c>
      <c r="H2531" s="2" t="s">
        <v>8216</v>
      </c>
      <c r="I2531" t="s">
        <v>14</v>
      </c>
      <c r="J2531" t="s">
        <v>15</v>
      </c>
    </row>
    <row r="2532" spans="1:10">
      <c r="A2532" s="2" t="str">
        <f>"2529"</f>
        <v>2529</v>
      </c>
      <c r="B2532" s="2" t="s">
        <v>9</v>
      </c>
      <c r="C2532" s="2" t="str">
        <f>"1 (1)"</f>
        <v>1 (1)</v>
      </c>
      <c r="D2532" s="2" t="s">
        <v>8274</v>
      </c>
      <c r="E2532" s="5" t="s">
        <v>8275</v>
      </c>
      <c r="F2532" s="3" t="s">
        <v>8276</v>
      </c>
      <c r="G2532" s="3" t="s">
        <v>8215</v>
      </c>
      <c r="H2532" s="2" t="s">
        <v>8216</v>
      </c>
      <c r="I2532" t="s">
        <v>14</v>
      </c>
      <c r="J2532" t="s">
        <v>15</v>
      </c>
    </row>
    <row r="2533" spans="1:10">
      <c r="A2533" s="2" t="str">
        <f>"2530"</f>
        <v>2530</v>
      </c>
      <c r="B2533" s="2" t="s">
        <v>9</v>
      </c>
      <c r="C2533" s="2" t="str">
        <f>"1 (1)"</f>
        <v>1 (1)</v>
      </c>
      <c r="D2533" s="2" t="s">
        <v>8277</v>
      </c>
      <c r="E2533" s="5" t="s">
        <v>8278</v>
      </c>
      <c r="F2533" s="3" t="s">
        <v>8279</v>
      </c>
      <c r="G2533" s="3" t="s">
        <v>8215</v>
      </c>
      <c r="H2533" s="2" t="str">
        <f>"2009"</f>
        <v>2009</v>
      </c>
      <c r="I2533" t="s">
        <v>14</v>
      </c>
      <c r="J2533" t="s">
        <v>15</v>
      </c>
    </row>
    <row r="2534" spans="1:10">
      <c r="A2534" s="2" t="str">
        <f>"2531"</f>
        <v>2531</v>
      </c>
      <c r="B2534" s="2" t="s">
        <v>9</v>
      </c>
      <c r="C2534" s="2" t="str">
        <f>"1 (1)"</f>
        <v>1 (1)</v>
      </c>
      <c r="D2534" s="2" t="s">
        <v>8280</v>
      </c>
      <c r="E2534" s="5" t="s">
        <v>8281</v>
      </c>
      <c r="F2534" s="3" t="s">
        <v>8282</v>
      </c>
      <c r="G2534" s="3" t="s">
        <v>8215</v>
      </c>
      <c r="H2534" s="2" t="str">
        <f>"2009"</f>
        <v>2009</v>
      </c>
      <c r="I2534" t="s">
        <v>14</v>
      </c>
      <c r="J2534" t="s">
        <v>15</v>
      </c>
    </row>
    <row r="2535" spans="1:10">
      <c r="A2535" s="2" t="str">
        <f>"2532"</f>
        <v>2532</v>
      </c>
      <c r="B2535" s="2" t="s">
        <v>9</v>
      </c>
      <c r="C2535" s="2" t="str">
        <f>"1 (1)"</f>
        <v>1 (1)</v>
      </c>
      <c r="D2535" s="2" t="s">
        <v>8283</v>
      </c>
      <c r="E2535" s="5" t="s">
        <v>8284</v>
      </c>
      <c r="F2535" s="3" t="s">
        <v>8285</v>
      </c>
      <c r="G2535" s="3" t="s">
        <v>8215</v>
      </c>
      <c r="H2535" s="2" t="str">
        <f>"2009"</f>
        <v>2009</v>
      </c>
      <c r="I2535" t="s">
        <v>14</v>
      </c>
      <c r="J2535" t="s">
        <v>15</v>
      </c>
    </row>
    <row r="2536" spans="1:10">
      <c r="A2536" s="2" t="str">
        <f>"2533"</f>
        <v>2533</v>
      </c>
      <c r="B2536" s="2" t="s">
        <v>9</v>
      </c>
      <c r="C2536" s="2" t="str">
        <f>"1 (1)"</f>
        <v>1 (1)</v>
      </c>
      <c r="D2536" s="2" t="s">
        <v>8286</v>
      </c>
      <c r="E2536" s="5" t="s">
        <v>8287</v>
      </c>
      <c r="F2536" s="3" t="s">
        <v>8288</v>
      </c>
      <c r="G2536" s="3" t="s">
        <v>8215</v>
      </c>
      <c r="H2536" s="2" t="s">
        <v>8216</v>
      </c>
      <c r="I2536" t="s">
        <v>14</v>
      </c>
      <c r="J2536" t="s">
        <v>15</v>
      </c>
    </row>
    <row r="2537" spans="1:10">
      <c r="A2537" s="2" t="str">
        <f>"2534"</f>
        <v>2534</v>
      </c>
      <c r="B2537" s="2" t="s">
        <v>9</v>
      </c>
      <c r="C2537" s="2" t="str">
        <f>"1 (1)"</f>
        <v>1 (1)</v>
      </c>
      <c r="D2537" s="2" t="s">
        <v>8289</v>
      </c>
      <c r="E2537" s="5" t="s">
        <v>8290</v>
      </c>
      <c r="F2537" s="3" t="s">
        <v>8291</v>
      </c>
      <c r="G2537" s="3" t="s">
        <v>8215</v>
      </c>
      <c r="H2537" s="2" t="s">
        <v>8216</v>
      </c>
      <c r="I2537" t="s">
        <v>14</v>
      </c>
      <c r="J2537" t="s">
        <v>15</v>
      </c>
    </row>
    <row r="2538" spans="1:10">
      <c r="A2538" s="2" t="str">
        <f>"2535"</f>
        <v>2535</v>
      </c>
      <c r="B2538" s="2" t="s">
        <v>9</v>
      </c>
      <c r="C2538" s="2" t="str">
        <f>"1 (1)"</f>
        <v>1 (1)</v>
      </c>
      <c r="D2538" s="2" t="s">
        <v>8292</v>
      </c>
      <c r="E2538" s="5" t="s">
        <v>8293</v>
      </c>
      <c r="F2538" s="3" t="s">
        <v>8294</v>
      </c>
      <c r="G2538" s="3" t="s">
        <v>8215</v>
      </c>
      <c r="H2538" s="2" t="s">
        <v>8216</v>
      </c>
      <c r="I2538" t="s">
        <v>14</v>
      </c>
      <c r="J2538" t="s">
        <v>15</v>
      </c>
    </row>
    <row r="2539" spans="1:10">
      <c r="A2539" s="2" t="str">
        <f>"2536"</f>
        <v>2536</v>
      </c>
      <c r="B2539" s="2" t="s">
        <v>9</v>
      </c>
      <c r="C2539" s="2" t="str">
        <f>"1 (1)"</f>
        <v>1 (1)</v>
      </c>
      <c r="D2539" s="2" t="s">
        <v>8295</v>
      </c>
      <c r="E2539" s="5" t="s">
        <v>8296</v>
      </c>
      <c r="F2539" s="3" t="s">
        <v>8297</v>
      </c>
      <c r="G2539" s="3" t="s">
        <v>8215</v>
      </c>
      <c r="H2539" s="2" t="str">
        <f>"2009"</f>
        <v>2009</v>
      </c>
      <c r="I2539" t="s">
        <v>14</v>
      </c>
      <c r="J2539" t="s">
        <v>15</v>
      </c>
    </row>
    <row r="2540" spans="1:10">
      <c r="A2540" s="2" t="str">
        <f>"2537"</f>
        <v>2537</v>
      </c>
      <c r="B2540" s="2" t="s">
        <v>9</v>
      </c>
      <c r="C2540" s="2" t="str">
        <f>"1 (1)"</f>
        <v>1 (1)</v>
      </c>
      <c r="D2540" s="2" t="s">
        <v>8298</v>
      </c>
      <c r="E2540" s="5" t="s">
        <v>8299</v>
      </c>
      <c r="F2540" s="3" t="s">
        <v>8300</v>
      </c>
      <c r="G2540" s="3" t="s">
        <v>8215</v>
      </c>
      <c r="H2540" s="2" t="str">
        <f>"2009"</f>
        <v>2009</v>
      </c>
      <c r="I2540" t="s">
        <v>14</v>
      </c>
      <c r="J2540" t="s">
        <v>15</v>
      </c>
    </row>
    <row r="2541" spans="1:10">
      <c r="A2541" s="2" t="str">
        <f>"2538"</f>
        <v>2538</v>
      </c>
      <c r="B2541" s="2" t="s">
        <v>9</v>
      </c>
      <c r="C2541" s="2" t="str">
        <f>"1 (1)"</f>
        <v>1 (1)</v>
      </c>
      <c r="D2541" s="2" t="s">
        <v>8301</v>
      </c>
      <c r="E2541" s="5" t="s">
        <v>8302</v>
      </c>
      <c r="F2541" s="3" t="s">
        <v>8222</v>
      </c>
      <c r="G2541" s="3" t="s">
        <v>8215</v>
      </c>
      <c r="H2541" s="2" t="str">
        <f>"2009"</f>
        <v>2009</v>
      </c>
      <c r="I2541" t="s">
        <v>14</v>
      </c>
      <c r="J2541" t="s">
        <v>15</v>
      </c>
    </row>
    <row r="2542" spans="1:10">
      <c r="A2542" s="2" t="str">
        <f>"2539"</f>
        <v>2539</v>
      </c>
      <c r="B2542" s="2" t="s">
        <v>9</v>
      </c>
      <c r="C2542" s="2" t="str">
        <f>"1 (1)"</f>
        <v>1 (1)</v>
      </c>
      <c r="D2542" s="2" t="s">
        <v>8303</v>
      </c>
      <c r="E2542" s="5" t="s">
        <v>8304</v>
      </c>
      <c r="F2542" s="3" t="s">
        <v>8305</v>
      </c>
      <c r="G2542" s="3" t="s">
        <v>8215</v>
      </c>
      <c r="H2542" s="2" t="str">
        <f>"2009"</f>
        <v>2009</v>
      </c>
      <c r="I2542" t="s">
        <v>14</v>
      </c>
      <c r="J2542" t="s">
        <v>15</v>
      </c>
    </row>
    <row r="2543" spans="1:10">
      <c r="A2543" s="2" t="str">
        <f>"2540"</f>
        <v>2540</v>
      </c>
      <c r="B2543" s="2" t="s">
        <v>9</v>
      </c>
      <c r="C2543" s="2" t="str">
        <f>"1 (1)"</f>
        <v>1 (1)</v>
      </c>
      <c r="D2543" s="2" t="s">
        <v>8306</v>
      </c>
      <c r="E2543" s="5" t="s">
        <v>8307</v>
      </c>
      <c r="F2543" s="3" t="s">
        <v>8308</v>
      </c>
      <c r="G2543" s="3" t="s">
        <v>8215</v>
      </c>
      <c r="H2543" s="2" t="str">
        <f>"2009"</f>
        <v>2009</v>
      </c>
      <c r="I2543" t="s">
        <v>14</v>
      </c>
      <c r="J2543" t="s">
        <v>15</v>
      </c>
    </row>
    <row r="2544" spans="1:10">
      <c r="A2544" s="2" t="str">
        <f>"2541"</f>
        <v>2541</v>
      </c>
      <c r="B2544" s="2" t="s">
        <v>9</v>
      </c>
      <c r="C2544" s="2" t="str">
        <f>"1 (1)"</f>
        <v>1 (1)</v>
      </c>
      <c r="D2544" s="2" t="s">
        <v>8309</v>
      </c>
      <c r="E2544" s="5" t="s">
        <v>8310</v>
      </c>
      <c r="F2544" s="3" t="s">
        <v>8311</v>
      </c>
      <c r="G2544" s="3" t="s">
        <v>8215</v>
      </c>
      <c r="H2544" s="2" t="str">
        <f>"2009"</f>
        <v>2009</v>
      </c>
      <c r="I2544" t="s">
        <v>14</v>
      </c>
      <c r="J2544" t="s">
        <v>15</v>
      </c>
    </row>
    <row r="2545" spans="1:10">
      <c r="A2545" s="2" t="str">
        <f>"2542"</f>
        <v>2542</v>
      </c>
      <c r="B2545" s="2" t="s">
        <v>9</v>
      </c>
      <c r="C2545" s="2" t="str">
        <f>"1 (1)"</f>
        <v>1 (1)</v>
      </c>
      <c r="D2545" s="2" t="s">
        <v>8312</v>
      </c>
      <c r="E2545" s="5" t="s">
        <v>8313</v>
      </c>
      <c r="F2545" s="3" t="s">
        <v>8314</v>
      </c>
      <c r="G2545" s="3" t="s">
        <v>8215</v>
      </c>
      <c r="H2545" s="2" t="str">
        <f>"2009"</f>
        <v>2009</v>
      </c>
      <c r="I2545" t="s">
        <v>14</v>
      </c>
      <c r="J2545" t="s">
        <v>15</v>
      </c>
    </row>
    <row r="2546" spans="1:10">
      <c r="A2546" s="2" t="str">
        <f>"2543"</f>
        <v>2543</v>
      </c>
      <c r="B2546" s="2" t="s">
        <v>9</v>
      </c>
      <c r="C2546" s="2" t="str">
        <f>"1 (1)"</f>
        <v>1 (1)</v>
      </c>
      <c r="D2546" s="2" t="s">
        <v>8315</v>
      </c>
      <c r="E2546" s="5" t="s">
        <v>8316</v>
      </c>
      <c r="F2546" s="3" t="s">
        <v>8317</v>
      </c>
      <c r="G2546" s="3" t="s">
        <v>8215</v>
      </c>
      <c r="H2546" s="2" t="s">
        <v>8318</v>
      </c>
      <c r="I2546" t="s">
        <v>14</v>
      </c>
      <c r="J2546" t="s">
        <v>15</v>
      </c>
    </row>
    <row r="2547" spans="1:10">
      <c r="A2547" s="2" t="str">
        <f>"2544"</f>
        <v>2544</v>
      </c>
      <c r="B2547" s="2" t="s">
        <v>9</v>
      </c>
      <c r="C2547" s="2" t="str">
        <f>"1 (1)"</f>
        <v>1 (1)</v>
      </c>
      <c r="D2547" s="2" t="s">
        <v>8319</v>
      </c>
      <c r="E2547" s="5" t="s">
        <v>8320</v>
      </c>
      <c r="F2547" s="3" t="s">
        <v>8321</v>
      </c>
      <c r="G2547" s="3" t="s">
        <v>8215</v>
      </c>
      <c r="H2547" s="2" t="s">
        <v>8318</v>
      </c>
      <c r="I2547" t="s">
        <v>14</v>
      </c>
      <c r="J2547" t="s">
        <v>15</v>
      </c>
    </row>
    <row r="2548" spans="1:10">
      <c r="A2548" s="2" t="str">
        <f>"2545"</f>
        <v>2545</v>
      </c>
      <c r="B2548" s="2" t="s">
        <v>9</v>
      </c>
      <c r="C2548" s="2" t="str">
        <f>"1 (1)"</f>
        <v>1 (1)</v>
      </c>
      <c r="D2548" s="2" t="s">
        <v>8322</v>
      </c>
      <c r="E2548" s="5" t="s">
        <v>8323</v>
      </c>
      <c r="F2548" s="3" t="s">
        <v>8324</v>
      </c>
      <c r="G2548" s="3" t="s">
        <v>8215</v>
      </c>
      <c r="H2548" s="2" t="str">
        <f>"2009"</f>
        <v>2009</v>
      </c>
      <c r="I2548" t="s">
        <v>14</v>
      </c>
      <c r="J2548" t="s">
        <v>15</v>
      </c>
    </row>
    <row r="2549" spans="1:10">
      <c r="A2549" s="2" t="str">
        <f>"2546"</f>
        <v>2546</v>
      </c>
      <c r="B2549" s="2" t="s">
        <v>9</v>
      </c>
      <c r="C2549" s="2" t="str">
        <f>"1 (1)"</f>
        <v>1 (1)</v>
      </c>
      <c r="D2549" s="2" t="s">
        <v>8325</v>
      </c>
      <c r="E2549" s="5" t="s">
        <v>8326</v>
      </c>
      <c r="F2549" s="3" t="s">
        <v>8327</v>
      </c>
      <c r="G2549" s="3" t="s">
        <v>8215</v>
      </c>
      <c r="H2549" s="2" t="str">
        <f>"2009"</f>
        <v>2009</v>
      </c>
      <c r="I2549" t="s">
        <v>14</v>
      </c>
      <c r="J2549" t="s">
        <v>15</v>
      </c>
    </row>
    <row r="2550" spans="1:10">
      <c r="A2550" s="2" t="str">
        <f>"2547"</f>
        <v>2547</v>
      </c>
      <c r="B2550" s="2" t="s">
        <v>9</v>
      </c>
      <c r="C2550" s="2" t="str">
        <f>"1 (1)"</f>
        <v>1 (1)</v>
      </c>
      <c r="D2550" s="2" t="s">
        <v>8328</v>
      </c>
      <c r="E2550" s="5" t="s">
        <v>8329</v>
      </c>
      <c r="F2550" s="3" t="s">
        <v>8314</v>
      </c>
      <c r="G2550" s="3" t="s">
        <v>8215</v>
      </c>
      <c r="H2550" s="2" t="str">
        <f>"2010"</f>
        <v>2010</v>
      </c>
      <c r="I2550" t="s">
        <v>14</v>
      </c>
      <c r="J2550" t="s">
        <v>15</v>
      </c>
    </row>
    <row r="2551" spans="1:10">
      <c r="A2551" s="2" t="str">
        <f>"2548"</f>
        <v>2548</v>
      </c>
      <c r="B2551" s="2" t="s">
        <v>9</v>
      </c>
      <c r="C2551" s="2" t="str">
        <f>"1 (1)"</f>
        <v>1 (1)</v>
      </c>
      <c r="D2551" s="2" t="s">
        <v>8330</v>
      </c>
      <c r="E2551" s="5" t="s">
        <v>8331</v>
      </c>
      <c r="F2551" s="3" t="s">
        <v>8332</v>
      </c>
      <c r="G2551" s="3" t="s">
        <v>8215</v>
      </c>
      <c r="H2551" s="2" t="str">
        <f>"2010"</f>
        <v>2010</v>
      </c>
      <c r="I2551" t="s">
        <v>14</v>
      </c>
      <c r="J2551" t="s">
        <v>15</v>
      </c>
    </row>
    <row r="2552" spans="1:10">
      <c r="A2552" s="2" t="str">
        <f>"2549"</f>
        <v>2549</v>
      </c>
      <c r="B2552" s="2" t="s">
        <v>9</v>
      </c>
      <c r="C2552" s="2" t="str">
        <f>"1 (1)"</f>
        <v>1 (1)</v>
      </c>
      <c r="D2552" s="2" t="s">
        <v>8333</v>
      </c>
      <c r="E2552" s="5" t="s">
        <v>8334</v>
      </c>
      <c r="F2552" s="3" t="s">
        <v>8335</v>
      </c>
      <c r="G2552" s="3" t="s">
        <v>8215</v>
      </c>
      <c r="H2552" s="2" t="str">
        <f>"2010"</f>
        <v>2010</v>
      </c>
      <c r="I2552" t="s">
        <v>14</v>
      </c>
      <c r="J2552" t="s">
        <v>15</v>
      </c>
    </row>
    <row r="2553" spans="1:10">
      <c r="A2553" s="2" t="str">
        <f>"2550"</f>
        <v>2550</v>
      </c>
      <c r="B2553" s="2" t="s">
        <v>9</v>
      </c>
      <c r="C2553" s="2" t="str">
        <f>"1 (1)"</f>
        <v>1 (1)</v>
      </c>
      <c r="D2553" s="2" t="s">
        <v>8336</v>
      </c>
      <c r="E2553" s="5" t="s">
        <v>8337</v>
      </c>
      <c r="F2553" s="3" t="s">
        <v>8338</v>
      </c>
      <c r="G2553" s="3" t="s">
        <v>8215</v>
      </c>
      <c r="H2553" s="2" t="str">
        <f>"2010"</f>
        <v>2010</v>
      </c>
      <c r="I2553" t="s">
        <v>14</v>
      </c>
      <c r="J2553" t="s">
        <v>15</v>
      </c>
    </row>
    <row r="2554" spans="1:10">
      <c r="A2554" s="2" t="str">
        <f>"2551"</f>
        <v>2551</v>
      </c>
      <c r="B2554" s="2" t="s">
        <v>9</v>
      </c>
      <c r="C2554" s="2" t="str">
        <f>"1 (1)"</f>
        <v>1 (1)</v>
      </c>
      <c r="D2554" s="2" t="s">
        <v>8339</v>
      </c>
      <c r="E2554" s="5" t="s">
        <v>8340</v>
      </c>
      <c r="F2554" s="3" t="s">
        <v>8341</v>
      </c>
      <c r="G2554" s="3" t="s">
        <v>8215</v>
      </c>
      <c r="H2554" s="2" t="str">
        <f>"2010"</f>
        <v>2010</v>
      </c>
      <c r="I2554" t="s">
        <v>14</v>
      </c>
      <c r="J2554" t="s">
        <v>15</v>
      </c>
    </row>
    <row r="2555" spans="1:10">
      <c r="A2555" s="2" t="str">
        <f>"2552"</f>
        <v>2552</v>
      </c>
      <c r="B2555" s="2" t="s">
        <v>9</v>
      </c>
      <c r="C2555" s="2" t="str">
        <f>"1 (1)"</f>
        <v>1 (1)</v>
      </c>
      <c r="D2555" s="2" t="s">
        <v>8342</v>
      </c>
      <c r="E2555" s="5" t="s">
        <v>8343</v>
      </c>
      <c r="F2555" s="3" t="s">
        <v>8344</v>
      </c>
      <c r="G2555" s="3" t="s">
        <v>8215</v>
      </c>
      <c r="H2555" s="2" t="str">
        <f>"2012"</f>
        <v>2012</v>
      </c>
      <c r="I2555" t="s">
        <v>14</v>
      </c>
      <c r="J2555" t="s">
        <v>15</v>
      </c>
    </row>
    <row r="2556" spans="1:10">
      <c r="A2556" s="2" t="str">
        <f>"2553"</f>
        <v>2553</v>
      </c>
      <c r="B2556" s="2" t="s">
        <v>9</v>
      </c>
      <c r="C2556" s="2" t="str">
        <f>"1 (1)"</f>
        <v>1 (1)</v>
      </c>
      <c r="D2556" s="2" t="s">
        <v>8345</v>
      </c>
      <c r="E2556" s="5" t="s">
        <v>8346</v>
      </c>
      <c r="F2556" s="3" t="s">
        <v>8347</v>
      </c>
      <c r="G2556" s="3" t="s">
        <v>8215</v>
      </c>
      <c r="H2556" s="2" t="str">
        <f>"2012"</f>
        <v>2012</v>
      </c>
      <c r="I2556" t="s">
        <v>14</v>
      </c>
      <c r="J2556" t="s">
        <v>15</v>
      </c>
    </row>
    <row r="2557" spans="1:10">
      <c r="A2557" s="2" t="str">
        <f>"2554"</f>
        <v>2554</v>
      </c>
      <c r="B2557" s="2" t="s">
        <v>9</v>
      </c>
      <c r="C2557" s="2" t="str">
        <f>"1 (1)"</f>
        <v>1 (1)</v>
      </c>
      <c r="D2557" s="2" t="s">
        <v>8348</v>
      </c>
      <c r="E2557" s="5" t="s">
        <v>8349</v>
      </c>
      <c r="F2557" s="3" t="s">
        <v>8350</v>
      </c>
      <c r="G2557" s="3" t="s">
        <v>8215</v>
      </c>
      <c r="H2557" s="2" t="str">
        <f>"2010"</f>
        <v>2010</v>
      </c>
      <c r="I2557" t="s">
        <v>14</v>
      </c>
      <c r="J2557" t="s">
        <v>15</v>
      </c>
    </row>
    <row r="2558" spans="1:10">
      <c r="A2558" s="2" t="str">
        <f>"2555"</f>
        <v>2555</v>
      </c>
      <c r="B2558" s="2" t="s">
        <v>9</v>
      </c>
      <c r="C2558" s="2" t="str">
        <f>"1 (1)"</f>
        <v>1 (1)</v>
      </c>
      <c r="D2558" s="2" t="s">
        <v>8351</v>
      </c>
      <c r="E2558" s="5" t="s">
        <v>8352</v>
      </c>
      <c r="F2558" s="3" t="s">
        <v>8353</v>
      </c>
      <c r="G2558" s="3" t="s">
        <v>8215</v>
      </c>
      <c r="H2558" s="2" t="str">
        <f>"2012"</f>
        <v>2012</v>
      </c>
      <c r="I2558" t="s">
        <v>14</v>
      </c>
      <c r="J2558" t="s">
        <v>15</v>
      </c>
    </row>
    <row r="2559" spans="1:10">
      <c r="A2559" s="2" t="str">
        <f>"2556"</f>
        <v>2556</v>
      </c>
      <c r="B2559" s="2" t="s">
        <v>9</v>
      </c>
      <c r="C2559" s="2" t="str">
        <f>"1 (1)"</f>
        <v>1 (1)</v>
      </c>
      <c r="D2559" s="2" t="s">
        <v>8354</v>
      </c>
      <c r="E2559" s="5" t="s">
        <v>8355</v>
      </c>
      <c r="F2559" s="3" t="s">
        <v>8356</v>
      </c>
      <c r="G2559" s="3" t="s">
        <v>8215</v>
      </c>
      <c r="H2559" s="2" t="s">
        <v>8318</v>
      </c>
      <c r="I2559" t="s">
        <v>14</v>
      </c>
      <c r="J2559" t="s">
        <v>15</v>
      </c>
    </row>
    <row r="2560" spans="1:10">
      <c r="A2560" s="2" t="str">
        <f>"2557"</f>
        <v>2557</v>
      </c>
      <c r="B2560" s="2" t="s">
        <v>9</v>
      </c>
      <c r="C2560" s="2" t="str">
        <f>"1 (1)"</f>
        <v>1 (1)</v>
      </c>
      <c r="D2560" s="2" t="s">
        <v>8357</v>
      </c>
      <c r="E2560" s="5" t="s">
        <v>6106</v>
      </c>
      <c r="F2560" s="3" t="s">
        <v>8358</v>
      </c>
      <c r="G2560" s="3" t="s">
        <v>8215</v>
      </c>
      <c r="H2560" s="2" t="str">
        <f>"2012"</f>
        <v>2012</v>
      </c>
      <c r="I2560" t="s">
        <v>14</v>
      </c>
      <c r="J2560" t="s">
        <v>15</v>
      </c>
    </row>
    <row r="2561" spans="1:10">
      <c r="A2561" s="2" t="str">
        <f>"2558"</f>
        <v>2558</v>
      </c>
      <c r="B2561" s="2" t="s">
        <v>9</v>
      </c>
      <c r="C2561" s="2" t="str">
        <f>"1 (1)"</f>
        <v>1 (1)</v>
      </c>
      <c r="D2561" s="2" t="s">
        <v>8359</v>
      </c>
      <c r="E2561" s="5" t="s">
        <v>8360</v>
      </c>
      <c r="F2561" s="3" t="s">
        <v>8361</v>
      </c>
      <c r="G2561" s="3" t="s">
        <v>8215</v>
      </c>
      <c r="H2561" s="2" t="str">
        <f>"2012"</f>
        <v>2012</v>
      </c>
      <c r="I2561" t="s">
        <v>14</v>
      </c>
      <c r="J2561" t="s">
        <v>15</v>
      </c>
    </row>
    <row r="2562" spans="1:10">
      <c r="A2562" s="2" t="str">
        <f>"2559"</f>
        <v>2559</v>
      </c>
      <c r="B2562" s="2" t="s">
        <v>9</v>
      </c>
      <c r="C2562" s="2" t="str">
        <f>"1 (1)"</f>
        <v>1 (1)</v>
      </c>
      <c r="D2562" s="2" t="s">
        <v>8362</v>
      </c>
      <c r="E2562" s="5" t="s">
        <v>8363</v>
      </c>
      <c r="F2562" s="3" t="s">
        <v>8364</v>
      </c>
      <c r="G2562" s="3" t="s">
        <v>8215</v>
      </c>
      <c r="H2562" s="2" t="str">
        <f>"2010"</f>
        <v>2010</v>
      </c>
      <c r="I2562" t="s">
        <v>14</v>
      </c>
      <c r="J2562" t="s">
        <v>15</v>
      </c>
    </row>
    <row r="2563" spans="1:10">
      <c r="A2563" s="2" t="str">
        <f>"2560"</f>
        <v>2560</v>
      </c>
      <c r="B2563" s="2" t="s">
        <v>9</v>
      </c>
      <c r="C2563" s="2" t="str">
        <f>"1 (1)"</f>
        <v>1 (1)</v>
      </c>
      <c r="D2563" s="2" t="s">
        <v>8365</v>
      </c>
      <c r="E2563" s="5" t="s">
        <v>8366</v>
      </c>
      <c r="F2563" s="3" t="s">
        <v>8367</v>
      </c>
      <c r="G2563" s="3" t="s">
        <v>8215</v>
      </c>
      <c r="H2563" s="2" t="str">
        <f>"2009"</f>
        <v>2009</v>
      </c>
      <c r="I2563" t="s">
        <v>14</v>
      </c>
      <c r="J2563" t="s">
        <v>15</v>
      </c>
    </row>
    <row r="2564" spans="1:10">
      <c r="A2564" s="2" t="str">
        <f>"2561"</f>
        <v>2561</v>
      </c>
      <c r="B2564" s="2" t="s">
        <v>9</v>
      </c>
      <c r="C2564" s="2" t="str">
        <f>"1 (1)"</f>
        <v>1 (1)</v>
      </c>
      <c r="D2564" s="2" t="s">
        <v>8368</v>
      </c>
      <c r="E2564" s="5" t="s">
        <v>8369</v>
      </c>
      <c r="F2564" s="3" t="s">
        <v>8370</v>
      </c>
      <c r="G2564" s="3" t="s">
        <v>8215</v>
      </c>
      <c r="H2564" s="2" t="str">
        <f>"2010"</f>
        <v>2010</v>
      </c>
      <c r="I2564" t="s">
        <v>14</v>
      </c>
      <c r="J2564" t="s">
        <v>15</v>
      </c>
    </row>
    <row r="2565" spans="1:10">
      <c r="A2565" s="2" t="str">
        <f>"2562"</f>
        <v>2562</v>
      </c>
      <c r="B2565" s="2" t="s">
        <v>9</v>
      </c>
      <c r="C2565" s="2" t="str">
        <f>"1 (1)"</f>
        <v>1 (1)</v>
      </c>
      <c r="D2565" s="2" t="s">
        <v>8371</v>
      </c>
      <c r="E2565" s="5" t="s">
        <v>8372</v>
      </c>
      <c r="F2565" s="3" t="s">
        <v>8373</v>
      </c>
      <c r="G2565" s="3" t="s">
        <v>8215</v>
      </c>
      <c r="H2565" s="2" t="str">
        <f>"2010"</f>
        <v>2010</v>
      </c>
      <c r="I2565" t="s">
        <v>14</v>
      </c>
      <c r="J2565" t="s">
        <v>15</v>
      </c>
    </row>
    <row r="2566" spans="1:10">
      <c r="A2566" s="2" t="str">
        <f>"2563"</f>
        <v>2563</v>
      </c>
      <c r="B2566" s="2" t="s">
        <v>9</v>
      </c>
      <c r="C2566" s="2" t="str">
        <f>"1 (1)"</f>
        <v>1 (1)</v>
      </c>
      <c r="D2566" s="2" t="s">
        <v>8374</v>
      </c>
      <c r="E2566" s="5" t="s">
        <v>8375</v>
      </c>
      <c r="F2566" s="3" t="s">
        <v>8376</v>
      </c>
      <c r="G2566" s="3" t="s">
        <v>8215</v>
      </c>
      <c r="H2566" s="2" t="str">
        <f>"2010"</f>
        <v>2010</v>
      </c>
      <c r="I2566" t="s">
        <v>14</v>
      </c>
      <c r="J2566" t="s">
        <v>15</v>
      </c>
    </row>
    <row r="2567" spans="1:10">
      <c r="A2567" s="2" t="str">
        <f>"2564"</f>
        <v>2564</v>
      </c>
      <c r="B2567" s="2" t="s">
        <v>9</v>
      </c>
      <c r="C2567" s="2" t="str">
        <f>"1 (1)"</f>
        <v>1 (1)</v>
      </c>
      <c r="D2567" s="2" t="s">
        <v>8377</v>
      </c>
      <c r="E2567" s="5" t="s">
        <v>8378</v>
      </c>
      <c r="F2567" s="3" t="s">
        <v>8379</v>
      </c>
      <c r="G2567" s="3" t="s">
        <v>8215</v>
      </c>
      <c r="H2567" s="2" t="s">
        <v>8318</v>
      </c>
      <c r="I2567" t="s">
        <v>14</v>
      </c>
      <c r="J2567" t="s">
        <v>15</v>
      </c>
    </row>
    <row r="2568" spans="1:10">
      <c r="A2568" s="2" t="str">
        <f>"2565"</f>
        <v>2565</v>
      </c>
      <c r="B2568" s="2" t="s">
        <v>9</v>
      </c>
      <c r="C2568" s="2" t="str">
        <f>"1 (1)"</f>
        <v>1 (1)</v>
      </c>
      <c r="D2568" s="2" t="s">
        <v>8380</v>
      </c>
      <c r="E2568" s="5" t="s">
        <v>8381</v>
      </c>
      <c r="F2568" s="3" t="s">
        <v>8382</v>
      </c>
      <c r="G2568" s="3" t="s">
        <v>8215</v>
      </c>
      <c r="H2568" s="2" t="str">
        <f>"2010"</f>
        <v>2010</v>
      </c>
      <c r="I2568" t="s">
        <v>14</v>
      </c>
      <c r="J2568" t="s">
        <v>15</v>
      </c>
    </row>
    <row r="2569" spans="1:10">
      <c r="A2569" s="2" t="str">
        <f>"2566"</f>
        <v>2566</v>
      </c>
      <c r="B2569" s="2" t="s">
        <v>9</v>
      </c>
      <c r="C2569" s="2" t="str">
        <f>"1 (1)"</f>
        <v>1 (1)</v>
      </c>
      <c r="D2569" s="2" t="s">
        <v>8383</v>
      </c>
      <c r="E2569" s="5" t="str">
        <f>"80일간의 세계 일주"</f>
        <v>80일간의 세계 일주</v>
      </c>
      <c r="F2569" s="3" t="s">
        <v>8384</v>
      </c>
      <c r="G2569" s="3" t="s">
        <v>8215</v>
      </c>
      <c r="H2569" s="2" t="str">
        <f>"2010"</f>
        <v>2010</v>
      </c>
      <c r="I2569" t="s">
        <v>14</v>
      </c>
      <c r="J2569" t="s">
        <v>15</v>
      </c>
    </row>
    <row r="2570" spans="1:10">
      <c r="A2570" s="2" t="str">
        <f>"2567"</f>
        <v>2567</v>
      </c>
      <c r="B2570" s="2" t="s">
        <v>9</v>
      </c>
      <c r="C2570" s="2" t="str">
        <f>"1 (1)"</f>
        <v>1 (1)</v>
      </c>
      <c r="D2570" s="2" t="s">
        <v>8385</v>
      </c>
      <c r="E2570" s="5" t="s">
        <v>8386</v>
      </c>
      <c r="F2570" s="3" t="s">
        <v>8387</v>
      </c>
      <c r="G2570" s="3" t="s">
        <v>8215</v>
      </c>
      <c r="H2570" s="2" t="s">
        <v>8318</v>
      </c>
      <c r="I2570" t="s">
        <v>14</v>
      </c>
      <c r="J2570" t="s">
        <v>15</v>
      </c>
    </row>
    <row r="2571" spans="1:10">
      <c r="A2571" s="2" t="str">
        <f>"2568"</f>
        <v>2568</v>
      </c>
      <c r="B2571" s="2" t="s">
        <v>9</v>
      </c>
      <c r="C2571" s="2" t="str">
        <f>"1 (1)"</f>
        <v>1 (1)</v>
      </c>
      <c r="D2571" s="2" t="s">
        <v>8388</v>
      </c>
      <c r="E2571" s="5" t="s">
        <v>8389</v>
      </c>
      <c r="F2571" s="3" t="s">
        <v>8390</v>
      </c>
      <c r="G2571" s="3" t="s">
        <v>8215</v>
      </c>
      <c r="H2571" s="2" t="s">
        <v>8318</v>
      </c>
      <c r="I2571" t="s">
        <v>14</v>
      </c>
      <c r="J2571" t="s">
        <v>15</v>
      </c>
    </row>
    <row r="2572" spans="1:10">
      <c r="A2572" s="2" t="str">
        <f>"2569"</f>
        <v>2569</v>
      </c>
      <c r="B2572" s="2" t="s">
        <v>9</v>
      </c>
      <c r="C2572" s="2" t="str">
        <f>"1 (1)"</f>
        <v>1 (1)</v>
      </c>
      <c r="D2572" s="2" t="s">
        <v>8391</v>
      </c>
      <c r="E2572" s="5" t="s">
        <v>8392</v>
      </c>
      <c r="F2572" s="3" t="s">
        <v>8393</v>
      </c>
      <c r="G2572" s="3" t="s">
        <v>8215</v>
      </c>
      <c r="H2572" s="2" t="str">
        <f>"2009"</f>
        <v>2009</v>
      </c>
      <c r="I2572" t="s">
        <v>14</v>
      </c>
      <c r="J2572" t="s">
        <v>15</v>
      </c>
    </row>
    <row r="2573" spans="1:10">
      <c r="A2573" s="2" t="str">
        <f>"2570"</f>
        <v>2570</v>
      </c>
      <c r="B2573" s="2" t="s">
        <v>9</v>
      </c>
      <c r="C2573" s="2" t="str">
        <f>"1 (1)"</f>
        <v>1 (1)</v>
      </c>
      <c r="D2573" s="2" t="s">
        <v>8394</v>
      </c>
      <c r="E2573" s="5" t="s">
        <v>8395</v>
      </c>
      <c r="F2573" s="3" t="s">
        <v>8393</v>
      </c>
      <c r="G2573" s="3" t="s">
        <v>8215</v>
      </c>
      <c r="H2573" s="2" t="str">
        <f>"2009"</f>
        <v>2009</v>
      </c>
      <c r="I2573" t="s">
        <v>14</v>
      </c>
      <c r="J2573" t="s">
        <v>15</v>
      </c>
    </row>
    <row r="2574" spans="1:10">
      <c r="A2574" s="2" t="str">
        <f>"2571"</f>
        <v>2571</v>
      </c>
      <c r="B2574" s="2" t="s">
        <v>9</v>
      </c>
      <c r="C2574" s="2" t="str">
        <f>"1 (1)"</f>
        <v>1 (1)</v>
      </c>
      <c r="D2574" s="2" t="s">
        <v>8396</v>
      </c>
      <c r="E2574" s="5" t="s">
        <v>8397</v>
      </c>
      <c r="F2574" s="3" t="s">
        <v>8393</v>
      </c>
      <c r="G2574" s="3" t="s">
        <v>8215</v>
      </c>
      <c r="H2574" s="2" t="str">
        <f>"2009"</f>
        <v>2009</v>
      </c>
      <c r="I2574" t="s">
        <v>14</v>
      </c>
      <c r="J2574" t="s">
        <v>15</v>
      </c>
    </row>
    <row r="2575" spans="1:10">
      <c r="A2575" s="2" t="str">
        <f>"2572"</f>
        <v>2572</v>
      </c>
      <c r="B2575" s="2" t="s">
        <v>9</v>
      </c>
      <c r="C2575" s="2" t="str">
        <f>"1 (1)"</f>
        <v>1 (1)</v>
      </c>
      <c r="D2575" s="2" t="s">
        <v>8398</v>
      </c>
      <c r="E2575" s="5" t="s">
        <v>8399</v>
      </c>
      <c r="F2575" s="3" t="s">
        <v>8393</v>
      </c>
      <c r="G2575" s="3" t="s">
        <v>8215</v>
      </c>
      <c r="H2575" s="2" t="str">
        <f>"2009"</f>
        <v>2009</v>
      </c>
      <c r="I2575" t="s">
        <v>14</v>
      </c>
      <c r="J2575" t="s">
        <v>15</v>
      </c>
    </row>
    <row r="2576" spans="1:10">
      <c r="A2576" s="2" t="str">
        <f>"2573"</f>
        <v>2573</v>
      </c>
      <c r="B2576" s="2" t="s">
        <v>9</v>
      </c>
      <c r="C2576" s="2" t="str">
        <f>"1 (1)"</f>
        <v>1 (1)</v>
      </c>
      <c r="D2576" s="2" t="s">
        <v>8400</v>
      </c>
      <c r="E2576" s="5" t="s">
        <v>8401</v>
      </c>
      <c r="F2576" s="3" t="s">
        <v>8393</v>
      </c>
      <c r="G2576" s="3" t="s">
        <v>8215</v>
      </c>
      <c r="H2576" s="2" t="str">
        <f>"2009"</f>
        <v>2009</v>
      </c>
      <c r="I2576" t="s">
        <v>14</v>
      </c>
      <c r="J2576" t="s">
        <v>15</v>
      </c>
    </row>
    <row r="2577" spans="1:10">
      <c r="A2577" s="2" t="str">
        <f>"2574"</f>
        <v>2574</v>
      </c>
      <c r="B2577" s="2" t="s">
        <v>9</v>
      </c>
      <c r="C2577" s="2" t="str">
        <f>"1 (1)"</f>
        <v>1 (1)</v>
      </c>
      <c r="D2577" s="2" t="s">
        <v>8402</v>
      </c>
      <c r="E2577" s="5" t="s">
        <v>8403</v>
      </c>
      <c r="F2577" s="3" t="s">
        <v>8404</v>
      </c>
      <c r="G2577" s="3" t="s">
        <v>8215</v>
      </c>
      <c r="H2577" s="2" t="str">
        <f>"2009"</f>
        <v>2009</v>
      </c>
      <c r="I2577" t="s">
        <v>14</v>
      </c>
      <c r="J2577" t="s">
        <v>15</v>
      </c>
    </row>
    <row r="2578" spans="1:10">
      <c r="A2578" s="2" t="str">
        <f>"2575"</f>
        <v>2575</v>
      </c>
      <c r="B2578" s="2" t="s">
        <v>9</v>
      </c>
      <c r="C2578" s="2" t="str">
        <f>"1 (1)"</f>
        <v>1 (1)</v>
      </c>
      <c r="D2578" s="2" t="s">
        <v>8405</v>
      </c>
      <c r="E2578" s="5" t="s">
        <v>8406</v>
      </c>
      <c r="F2578" s="3" t="s">
        <v>8404</v>
      </c>
      <c r="G2578" s="3" t="s">
        <v>8215</v>
      </c>
      <c r="H2578" s="2" t="str">
        <f>"2009"</f>
        <v>2009</v>
      </c>
      <c r="I2578" t="s">
        <v>14</v>
      </c>
      <c r="J2578" t="s">
        <v>15</v>
      </c>
    </row>
    <row r="2579" spans="1:10">
      <c r="A2579" s="2" t="str">
        <f>"2576"</f>
        <v>2576</v>
      </c>
      <c r="B2579" s="2" t="s">
        <v>9</v>
      </c>
      <c r="C2579" s="2" t="str">
        <f>"1 (1)"</f>
        <v>1 (1)</v>
      </c>
      <c r="D2579" s="2" t="s">
        <v>8407</v>
      </c>
      <c r="E2579" s="5" t="s">
        <v>8408</v>
      </c>
      <c r="F2579" s="3" t="s">
        <v>8404</v>
      </c>
      <c r="G2579" s="3" t="s">
        <v>8215</v>
      </c>
      <c r="H2579" s="2" t="str">
        <f>"2009"</f>
        <v>2009</v>
      </c>
      <c r="I2579" t="s">
        <v>14</v>
      </c>
      <c r="J2579" t="s">
        <v>15</v>
      </c>
    </row>
    <row r="2580" spans="1:10">
      <c r="A2580" s="2" t="str">
        <f>"2577"</f>
        <v>2577</v>
      </c>
      <c r="B2580" s="2" t="s">
        <v>9</v>
      </c>
      <c r="C2580" s="2" t="str">
        <f>"1 (1)"</f>
        <v>1 (1)</v>
      </c>
      <c r="D2580" s="2" t="s">
        <v>8409</v>
      </c>
      <c r="E2580" s="5" t="s">
        <v>8410</v>
      </c>
      <c r="F2580" s="3" t="s">
        <v>8404</v>
      </c>
      <c r="G2580" s="3" t="s">
        <v>8215</v>
      </c>
      <c r="H2580" s="2" t="str">
        <f>"2009"</f>
        <v>2009</v>
      </c>
      <c r="I2580" t="s">
        <v>14</v>
      </c>
      <c r="J2580" t="s">
        <v>15</v>
      </c>
    </row>
    <row r="2581" spans="1:10">
      <c r="A2581" s="2" t="str">
        <f>"2578"</f>
        <v>2578</v>
      </c>
      <c r="B2581" s="2" t="s">
        <v>9</v>
      </c>
      <c r="C2581" s="2" t="str">
        <f>"1 (1)"</f>
        <v>1 (1)</v>
      </c>
      <c r="D2581" s="2" t="s">
        <v>8411</v>
      </c>
      <c r="E2581" s="5" t="s">
        <v>8412</v>
      </c>
      <c r="F2581" s="3" t="s">
        <v>8404</v>
      </c>
      <c r="G2581" s="3" t="s">
        <v>8215</v>
      </c>
      <c r="H2581" s="2" t="str">
        <f>"2009"</f>
        <v>2009</v>
      </c>
      <c r="I2581" t="s">
        <v>14</v>
      </c>
      <c r="J2581" t="s">
        <v>15</v>
      </c>
    </row>
    <row r="2582" spans="1:10">
      <c r="A2582" s="2" t="str">
        <f>"2579"</f>
        <v>2579</v>
      </c>
      <c r="B2582" s="2" t="s">
        <v>9</v>
      </c>
      <c r="C2582" s="2" t="str">
        <f>"1 (1)"</f>
        <v>1 (1)</v>
      </c>
      <c r="D2582" s="2" t="s">
        <v>8413</v>
      </c>
      <c r="E2582" s="5" t="s">
        <v>8414</v>
      </c>
      <c r="F2582" s="3" t="s">
        <v>8415</v>
      </c>
      <c r="G2582" s="3" t="s">
        <v>8215</v>
      </c>
      <c r="H2582" s="2" t="str">
        <f>"2009"</f>
        <v>2009</v>
      </c>
      <c r="I2582" t="s">
        <v>14</v>
      </c>
      <c r="J2582" t="s">
        <v>15</v>
      </c>
    </row>
    <row r="2583" spans="1:10">
      <c r="A2583" s="2" t="str">
        <f>"2580"</f>
        <v>2580</v>
      </c>
      <c r="B2583" s="2" t="s">
        <v>9</v>
      </c>
      <c r="C2583" s="2" t="str">
        <f>"1 (1)"</f>
        <v>1 (1)</v>
      </c>
      <c r="D2583" s="2" t="s">
        <v>8416</v>
      </c>
      <c r="E2583" s="5" t="s">
        <v>8417</v>
      </c>
      <c r="F2583" s="3" t="s">
        <v>8415</v>
      </c>
      <c r="G2583" s="3" t="s">
        <v>8215</v>
      </c>
      <c r="H2583" s="2" t="str">
        <f>"2009"</f>
        <v>2009</v>
      </c>
      <c r="I2583" t="s">
        <v>14</v>
      </c>
      <c r="J2583" t="s">
        <v>15</v>
      </c>
    </row>
    <row r="2584" spans="1:10">
      <c r="A2584" s="2" t="str">
        <f>"2581"</f>
        <v>2581</v>
      </c>
      <c r="B2584" s="2" t="s">
        <v>9</v>
      </c>
      <c r="C2584" s="2" t="str">
        <f>"1 (1)"</f>
        <v>1 (1)</v>
      </c>
      <c r="D2584" s="2" t="s">
        <v>8418</v>
      </c>
      <c r="E2584" s="5" t="s">
        <v>8419</v>
      </c>
      <c r="F2584" s="3" t="s">
        <v>8415</v>
      </c>
      <c r="G2584" s="3" t="s">
        <v>8215</v>
      </c>
      <c r="H2584" s="2" t="str">
        <f>"2009"</f>
        <v>2009</v>
      </c>
      <c r="I2584" t="s">
        <v>14</v>
      </c>
      <c r="J2584" t="s">
        <v>15</v>
      </c>
    </row>
    <row r="2585" spans="1:10">
      <c r="A2585" s="2" t="str">
        <f>"2582"</f>
        <v>2582</v>
      </c>
      <c r="B2585" s="2" t="s">
        <v>9</v>
      </c>
      <c r="C2585" s="2" t="str">
        <f>"1 (1)"</f>
        <v>1 (1)</v>
      </c>
      <c r="D2585" s="2" t="s">
        <v>8420</v>
      </c>
      <c r="E2585" s="5" t="s">
        <v>8421</v>
      </c>
      <c r="F2585" s="3" t="s">
        <v>8415</v>
      </c>
      <c r="G2585" s="3" t="s">
        <v>8215</v>
      </c>
      <c r="H2585" s="2" t="str">
        <f>"2009"</f>
        <v>2009</v>
      </c>
      <c r="I2585" t="s">
        <v>14</v>
      </c>
      <c r="J2585" t="s">
        <v>15</v>
      </c>
    </row>
    <row r="2586" spans="1:10">
      <c r="A2586" s="2" t="str">
        <f>"2583"</f>
        <v>2583</v>
      </c>
      <c r="B2586" s="2" t="s">
        <v>9</v>
      </c>
      <c r="C2586" s="2" t="str">
        <f>"1 (1)"</f>
        <v>1 (1)</v>
      </c>
      <c r="D2586" s="2" t="s">
        <v>8422</v>
      </c>
      <c r="E2586" s="5" t="s">
        <v>8423</v>
      </c>
      <c r="F2586" s="3" t="s">
        <v>8415</v>
      </c>
      <c r="G2586" s="3" t="s">
        <v>8215</v>
      </c>
      <c r="H2586" s="2" t="str">
        <f>"2009"</f>
        <v>2009</v>
      </c>
      <c r="I2586" t="s">
        <v>14</v>
      </c>
      <c r="J2586" t="s">
        <v>15</v>
      </c>
    </row>
    <row r="2587" spans="1:10">
      <c r="A2587" s="2" t="str">
        <f>"2584"</f>
        <v>2584</v>
      </c>
      <c r="B2587" s="2" t="s">
        <v>9</v>
      </c>
      <c r="C2587" s="2" t="str">
        <f>"1 (1)"</f>
        <v>1 (1)</v>
      </c>
      <c r="D2587" s="2" t="s">
        <v>8424</v>
      </c>
      <c r="E2587" s="5" t="s">
        <v>8425</v>
      </c>
      <c r="F2587" s="3" t="s">
        <v>8426</v>
      </c>
      <c r="G2587" s="3" t="s">
        <v>8215</v>
      </c>
      <c r="H2587" s="2" t="str">
        <f>"2009"</f>
        <v>2009</v>
      </c>
      <c r="I2587" t="s">
        <v>14</v>
      </c>
      <c r="J2587" t="s">
        <v>15</v>
      </c>
    </row>
    <row r="2588" spans="1:10">
      <c r="A2588" s="2" t="str">
        <f>"2585"</f>
        <v>2585</v>
      </c>
      <c r="B2588" s="2" t="s">
        <v>9</v>
      </c>
      <c r="C2588" s="2" t="str">
        <f>"1 (1)"</f>
        <v>1 (1)</v>
      </c>
      <c r="D2588" s="2" t="s">
        <v>8427</v>
      </c>
      <c r="E2588" s="5" t="s">
        <v>8428</v>
      </c>
      <c r="F2588" s="3" t="s">
        <v>8426</v>
      </c>
      <c r="G2588" s="3" t="s">
        <v>8215</v>
      </c>
      <c r="H2588" s="2" t="str">
        <f>"2009"</f>
        <v>2009</v>
      </c>
      <c r="I2588" t="s">
        <v>14</v>
      </c>
      <c r="J2588" t="s">
        <v>15</v>
      </c>
    </row>
    <row r="2589" spans="1:10">
      <c r="A2589" s="2" t="str">
        <f>"2586"</f>
        <v>2586</v>
      </c>
      <c r="B2589" s="2" t="s">
        <v>9</v>
      </c>
      <c r="C2589" s="2" t="str">
        <f>"1 (1)"</f>
        <v>1 (1)</v>
      </c>
      <c r="D2589" s="2" t="s">
        <v>8429</v>
      </c>
      <c r="E2589" s="5" t="s">
        <v>8430</v>
      </c>
      <c r="F2589" s="3" t="s">
        <v>8426</v>
      </c>
      <c r="G2589" s="3" t="s">
        <v>8215</v>
      </c>
      <c r="H2589" s="2" t="str">
        <f>"2009"</f>
        <v>2009</v>
      </c>
      <c r="I2589" t="s">
        <v>14</v>
      </c>
      <c r="J2589" t="s">
        <v>15</v>
      </c>
    </row>
    <row r="2590" spans="1:10">
      <c r="A2590" s="2" t="str">
        <f>"2587"</f>
        <v>2587</v>
      </c>
      <c r="B2590" s="2" t="s">
        <v>9</v>
      </c>
      <c r="C2590" s="2" t="str">
        <f>"1 (1)"</f>
        <v>1 (1)</v>
      </c>
      <c r="D2590" s="2" t="s">
        <v>8431</v>
      </c>
      <c r="E2590" s="5" t="s">
        <v>8432</v>
      </c>
      <c r="F2590" s="3" t="s">
        <v>8426</v>
      </c>
      <c r="G2590" s="3" t="s">
        <v>8215</v>
      </c>
      <c r="H2590" s="2" t="str">
        <f>"2009"</f>
        <v>2009</v>
      </c>
      <c r="I2590" t="s">
        <v>14</v>
      </c>
      <c r="J2590" t="s">
        <v>15</v>
      </c>
    </row>
    <row r="2591" spans="1:10">
      <c r="A2591" s="2" t="str">
        <f>"2588"</f>
        <v>2588</v>
      </c>
      <c r="B2591" s="2" t="s">
        <v>9</v>
      </c>
      <c r="C2591" s="2" t="str">
        <f>"1 (1)"</f>
        <v>1 (1)</v>
      </c>
      <c r="D2591" s="2" t="s">
        <v>8433</v>
      </c>
      <c r="E2591" s="5" t="s">
        <v>8434</v>
      </c>
      <c r="F2591" s="3" t="s">
        <v>8426</v>
      </c>
      <c r="G2591" s="3" t="s">
        <v>8215</v>
      </c>
      <c r="H2591" s="2" t="str">
        <f>"2009"</f>
        <v>2009</v>
      </c>
      <c r="I2591" t="s">
        <v>14</v>
      </c>
      <c r="J2591" t="s">
        <v>15</v>
      </c>
    </row>
    <row r="2592" spans="1:10">
      <c r="A2592" s="2" t="str">
        <f>"2589"</f>
        <v>2589</v>
      </c>
      <c r="B2592" s="2" t="s">
        <v>9</v>
      </c>
      <c r="C2592" s="2" t="str">
        <f>"1 (1)"</f>
        <v>1 (1)</v>
      </c>
      <c r="D2592" s="2" t="s">
        <v>8435</v>
      </c>
      <c r="E2592" s="5" t="s">
        <v>8436</v>
      </c>
      <c r="F2592" s="3" t="s">
        <v>8437</v>
      </c>
      <c r="G2592" s="3" t="s">
        <v>972</v>
      </c>
      <c r="H2592" s="2" t="str">
        <f>"2013"</f>
        <v>2013</v>
      </c>
      <c r="I2592" t="s">
        <v>14</v>
      </c>
      <c r="J2592" t="s">
        <v>15</v>
      </c>
    </row>
    <row r="2593" spans="1:10">
      <c r="A2593" s="2" t="str">
        <f>"2590"</f>
        <v>2590</v>
      </c>
      <c r="B2593" s="2" t="s">
        <v>9</v>
      </c>
      <c r="C2593" s="2" t="str">
        <f>"1 (1)"</f>
        <v>1 (1)</v>
      </c>
      <c r="D2593" s="2" t="s">
        <v>8438</v>
      </c>
      <c r="E2593" s="5" t="s">
        <v>8439</v>
      </c>
      <c r="F2593" s="3" t="s">
        <v>8440</v>
      </c>
      <c r="G2593" s="3" t="s">
        <v>8441</v>
      </c>
      <c r="H2593" s="2" t="str">
        <f>"2013"</f>
        <v>2013</v>
      </c>
      <c r="I2593" t="s">
        <v>14</v>
      </c>
      <c r="J2593" t="s">
        <v>15</v>
      </c>
    </row>
    <row r="2594" spans="1:10">
      <c r="A2594" s="2" t="str">
        <f>"2591"</f>
        <v>2591</v>
      </c>
      <c r="B2594" s="2" t="s">
        <v>9</v>
      </c>
      <c r="C2594" s="2" t="str">
        <f>"1 (1)"</f>
        <v>1 (1)</v>
      </c>
      <c r="D2594" s="2" t="s">
        <v>8442</v>
      </c>
      <c r="E2594" s="5" t="s">
        <v>8443</v>
      </c>
      <c r="F2594" s="3" t="s">
        <v>8444</v>
      </c>
      <c r="G2594" s="3" t="s">
        <v>6278</v>
      </c>
      <c r="H2594" s="2" t="str">
        <f>"2013"</f>
        <v>2013</v>
      </c>
      <c r="I2594" t="s">
        <v>14</v>
      </c>
      <c r="J2594" t="s">
        <v>15</v>
      </c>
    </row>
    <row r="2595" spans="1:10">
      <c r="A2595" s="2" t="str">
        <f>"2592"</f>
        <v>2592</v>
      </c>
      <c r="B2595" s="2" t="s">
        <v>9</v>
      </c>
      <c r="C2595" s="2" t="str">
        <f>"1 (1)"</f>
        <v>1 (1)</v>
      </c>
      <c r="D2595" s="2" t="s">
        <v>8445</v>
      </c>
      <c r="E2595" s="5" t="s">
        <v>8446</v>
      </c>
      <c r="F2595" s="3" t="s">
        <v>8447</v>
      </c>
      <c r="G2595" s="3" t="s">
        <v>8448</v>
      </c>
      <c r="H2595" s="2" t="str">
        <f>"2013"</f>
        <v>2013</v>
      </c>
      <c r="I2595" t="s">
        <v>14</v>
      </c>
      <c r="J2595" t="s">
        <v>15</v>
      </c>
    </row>
    <row r="2596" spans="1:10">
      <c r="A2596" s="2" t="str">
        <f>"2593"</f>
        <v>2593</v>
      </c>
      <c r="B2596" s="2" t="s">
        <v>9</v>
      </c>
      <c r="C2596" s="2" t="str">
        <f>"1 (1)"</f>
        <v>1 (1)</v>
      </c>
      <c r="D2596" s="2" t="s">
        <v>8449</v>
      </c>
      <c r="E2596" s="5" t="s">
        <v>8450</v>
      </c>
      <c r="F2596" s="3" t="s">
        <v>8447</v>
      </c>
      <c r="G2596" s="3" t="s">
        <v>8448</v>
      </c>
      <c r="H2596" s="2" t="str">
        <f>"2013"</f>
        <v>2013</v>
      </c>
      <c r="I2596" t="s">
        <v>14</v>
      </c>
      <c r="J2596" t="s">
        <v>15</v>
      </c>
    </row>
    <row r="2597" spans="1:10">
      <c r="A2597" s="2" t="str">
        <f>"2594"</f>
        <v>2594</v>
      </c>
      <c r="B2597" s="2" t="s">
        <v>9</v>
      </c>
      <c r="C2597" s="2" t="str">
        <f>"1 (1)"</f>
        <v>1 (1)</v>
      </c>
      <c r="D2597" s="2" t="s">
        <v>8451</v>
      </c>
      <c r="E2597" s="5" t="s">
        <v>8452</v>
      </c>
      <c r="F2597" s="3" t="s">
        <v>8453</v>
      </c>
      <c r="G2597" s="3" t="s">
        <v>2438</v>
      </c>
      <c r="H2597" s="2" t="str">
        <f>"2013"</f>
        <v>2013</v>
      </c>
      <c r="I2597" t="s">
        <v>14</v>
      </c>
      <c r="J2597" t="s">
        <v>15</v>
      </c>
    </row>
  </sheetData>
  <mergeCells count="2">
    <mergeCell ref="A1:H1"/>
    <mergeCell ref="A2:H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2013-09-16T08:15:12Z</dcterms:created>
  <dcterms:modified xsi:type="dcterms:W3CDTF">2013-09-16T08:21:08Z</dcterms:modified>
</cp:coreProperties>
</file>